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65281" windowWidth="15480" windowHeight="8700" firstSheet="1" activeTab="1"/>
  </bookViews>
  <sheets>
    <sheet name="Abstract-Teaching" sheetId="1" r:id="rId1"/>
    <sheet name="Teaching" sheetId="2" r:id="rId2"/>
    <sheet name="A.M.D" sheetId="3" r:id="rId3"/>
    <sheet name="Abstract-Non Teach" sheetId="4" r:id="rId4"/>
    <sheet name="Teaching &amp; Non Teaching" sheetId="5" r:id="rId5"/>
    <sheet name="NRC" sheetId="6" r:id="rId6"/>
    <sheet name="Leave" sheetId="7" r:id="rId7"/>
  </sheets>
  <externalReferences>
    <externalReference r:id="rId10"/>
  </externalReferences>
  <definedNames>
    <definedName name="_xlnm.Print_Area" localSheetId="2">'A.M.D'!$A$4:$Q$26</definedName>
    <definedName name="_xlnm.Print_Area" localSheetId="3">'Abstract-Non Teach'!$A$3:$X$30</definedName>
    <definedName name="_xlnm.Print_Area" localSheetId="0">'Abstract-Teaching'!$A$3:$X$27</definedName>
    <definedName name="_xlnm.Print_Area" localSheetId="1">'Teaching'!$A$1:$U$132</definedName>
    <definedName name="_xlnm.Print_Area" localSheetId="4">'Teaching &amp; Non Teaching'!$A$1:$Y$409</definedName>
    <definedName name="_xlnm.Print_Titles" localSheetId="2">'A.M.D'!$8:$8</definedName>
    <definedName name="_xlnm.Print_Titles" localSheetId="1">'Teaching'!$4:$5</definedName>
    <definedName name="_xlnm.Print_Titles" localSheetId="4">'Teaching &amp; Non Teaching'!$4:$5</definedName>
  </definedNames>
  <calcPr fullCalcOnLoad="1"/>
</workbook>
</file>

<file path=xl/comments5.xml><?xml version="1.0" encoding="utf-8"?>
<comments xmlns="http://schemas.openxmlformats.org/spreadsheetml/2006/main">
  <authors>
    <author>office</author>
    <author>Computer</author>
  </authors>
  <commentList>
    <comment ref="P125" authorId="0">
      <text>
        <r>
          <rPr>
            <b/>
            <sz val="8"/>
            <rFont val="Tahoma"/>
            <family val="2"/>
          </rPr>
          <t>office:</t>
        </r>
        <r>
          <rPr>
            <sz val="8"/>
            <rFont val="Tahoma"/>
            <family val="2"/>
          </rPr>
          <t xml:space="preserve">
may, june &amp; July
</t>
        </r>
      </text>
    </comment>
    <comment ref="Q66" authorId="1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1st instllemtn festival &amp; deepawali allowance rs 5000/- deducted
</t>
        </r>
      </text>
    </comment>
  </commentList>
</comments>
</file>

<file path=xl/comments7.xml><?xml version="1.0" encoding="utf-8"?>
<comments xmlns="http://schemas.openxmlformats.org/spreadsheetml/2006/main">
  <authors>
    <author>Computer</author>
  </authors>
  <commentList>
    <comment ref="B363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<sst xmlns="http://schemas.openxmlformats.org/spreadsheetml/2006/main" count="2639" uniqueCount="1606">
  <si>
    <t xml:space="preserve">Mr. Syed Ahmed (Forensic Medicine) </t>
  </si>
  <si>
    <t>12.02.2014</t>
  </si>
  <si>
    <t>Staff Nurse - Consolidated Pay</t>
  </si>
  <si>
    <t>Lady Medical Officer-3</t>
  </si>
  <si>
    <t>TECHNICAL ASST. / TECHNICIANS-58</t>
  </si>
  <si>
    <t>Radiographer / X-Ray Technicians-08</t>
  </si>
  <si>
    <t>Vacant-03</t>
  </si>
  <si>
    <t>Refractionist-01</t>
  </si>
  <si>
    <t>VII</t>
  </si>
  <si>
    <t>Staff Nurse - Deputed from BRIMS-3</t>
  </si>
  <si>
    <t>Staff Nurses-255</t>
  </si>
  <si>
    <t>Mr.Pavan Kulkarni</t>
  </si>
  <si>
    <t>Mr.Anil Raj  (Order Ref. No.RIMS/Adm-2/2012-13/125 Dtd.09.06.2012</t>
  </si>
  <si>
    <t>Vacant-02</t>
  </si>
  <si>
    <t>Disection Hall Artists-06</t>
  </si>
  <si>
    <t>Vacanat-04</t>
  </si>
  <si>
    <t>Plumber-01 (Post Not Sanctioned)                         (Basic Pay Rs.9600/-)</t>
  </si>
  <si>
    <t>Attender cum Watchmen -                    Consolidated Pay (Basic Pay Rs.9600/-)</t>
  </si>
  <si>
    <t>Electrician-02 (Post Not Sanctioned) (Basic Pay Rs.11600/-)</t>
  </si>
  <si>
    <t>Artist-1- Consolidated Pay-1                               ((Basic Pay Rs.14550/-)</t>
  </si>
  <si>
    <t>17.02.2012</t>
  </si>
  <si>
    <t>26.02.2014</t>
  </si>
  <si>
    <t>Sanctioned on 15.02.2014</t>
  </si>
  <si>
    <t>17.02.14</t>
  </si>
  <si>
    <t>15 Days</t>
  </si>
  <si>
    <t>Diwan Ganesh Singh</t>
  </si>
  <si>
    <t>03.03.14</t>
  </si>
  <si>
    <t xml:space="preserve">15 Dyas </t>
  </si>
  <si>
    <t>AAO-RIMS (Post not Sanctioned)</t>
  </si>
  <si>
    <t>Medical Record Workers - 04                     (Consolidated Pay -03)                                           ((Basic Pay Rs.14550/-)</t>
  </si>
  <si>
    <t>O.T Technicians - Temporary Pay-02                 ((Basic Pay Rs.14550/-)</t>
  </si>
  <si>
    <t>X-Ray Technicians -Consolidated Pay - 02 ((Basic Pay Rs.14550/-)</t>
  </si>
  <si>
    <t>Consolidated Pay-Laboratory Tech - 02 ((Basic Pay Rs.14550/-)</t>
  </si>
  <si>
    <t>Tutors /Jr. Residents-58                                            (Consolidated Pay Rs.29000, 30000 &amp; 31000)</t>
  </si>
  <si>
    <t>Store Keeper/ Clerck- Consolidated Pay-19 (Basic Pay Rs.14550/-)</t>
  </si>
  <si>
    <t>Mr.Suguraiah Hiremath (MRD)</t>
  </si>
  <si>
    <t>PF (12%)</t>
  </si>
  <si>
    <t>PF (13.61%)</t>
  </si>
  <si>
    <t>MA/ PGA</t>
  </si>
  <si>
    <t>Statistician/Lect.</t>
  </si>
  <si>
    <t>Dr.Srinivas Murthy</t>
  </si>
  <si>
    <t>Recovery</t>
  </si>
  <si>
    <t>No Chq</t>
  </si>
  <si>
    <t>Pension - Others</t>
  </si>
  <si>
    <t>HRA (Trf. 62129977456)</t>
  </si>
  <si>
    <t>EPF (Manager SBI Raichur)</t>
  </si>
  <si>
    <t>Head of Account : 2210-05-105-1-47-101 (Non Plan)</t>
  </si>
  <si>
    <t>FINANCE ADVISOR-1</t>
  </si>
  <si>
    <t>Dr.Mulimani Bapugouda</t>
  </si>
  <si>
    <t xml:space="preserve">Mr.Praveen S Patil </t>
  </si>
  <si>
    <t xml:space="preserve">Mr.Naveen Kumar </t>
  </si>
  <si>
    <t xml:space="preserve">Miss.Chitralekha </t>
  </si>
  <si>
    <t>Commuted leave</t>
  </si>
  <si>
    <t>Mr.C Narasappa (G.S)</t>
  </si>
  <si>
    <t>Mrs.Swarajya Laxmi (Pediatrics)</t>
  </si>
  <si>
    <t xml:space="preserve">Manjunath D S/o Mailarappa (X-Ray)  </t>
  </si>
  <si>
    <t xml:space="preserve">Veena D/o Chinna Shakrappa (Refraction)  </t>
  </si>
  <si>
    <t xml:space="preserve">Sharadh T. K  </t>
  </si>
  <si>
    <t xml:space="preserve">Usha. H D/o Hanumanth Reddy  </t>
  </si>
  <si>
    <t xml:space="preserve">Rita N D/o T.Narasappa  </t>
  </si>
  <si>
    <t xml:space="preserve">Srikanth Yakkundi S/o Channappa   </t>
  </si>
  <si>
    <t xml:space="preserve">Shobha S V  D/o Veerabhadrappa S C    </t>
  </si>
  <si>
    <t xml:space="preserve">Srishail Shankarashetti S/o Revansiddappa    </t>
  </si>
  <si>
    <t>Palaksha .P. S/o Papannareddy</t>
  </si>
  <si>
    <t xml:space="preserve">Balappa  Pujari S/o Rayappa  </t>
  </si>
  <si>
    <t xml:space="preserve">Kavitha D/o Dhansagar </t>
  </si>
  <si>
    <t xml:space="preserve">Indramma D/o Hanumanthappa    </t>
  </si>
  <si>
    <t xml:space="preserve">Santosh Kumar Chauhan S/o Chandrashekar  </t>
  </si>
  <si>
    <t xml:space="preserve">Rehaman Sab S/o Malik Sab </t>
  </si>
  <si>
    <t xml:space="preserve">Sharina Banu S D/o Ghouse Khan   </t>
  </si>
  <si>
    <t xml:space="preserve">Veena Bandenavar  D/o Chandrappa   </t>
  </si>
  <si>
    <t>Physical Instructor-01 (Post Not Sanctioned) ((Basic Pay Rs.14550/-)</t>
  </si>
  <si>
    <t>Teaching &amp; Non Teaching Staff</t>
  </si>
  <si>
    <t>Water</t>
  </si>
  <si>
    <t xml:space="preserve">Sri.Jabiulla </t>
  </si>
  <si>
    <t xml:space="preserve"> </t>
  </si>
  <si>
    <t>Electricity</t>
  </si>
  <si>
    <t>Elect</t>
  </si>
  <si>
    <t>Clean</t>
  </si>
  <si>
    <t>Cleaning</t>
  </si>
  <si>
    <t>10 Days</t>
  </si>
  <si>
    <t xml:space="preserve">Mr.Suresh Babu  </t>
  </si>
  <si>
    <t>Elec</t>
  </si>
  <si>
    <t>Rekha Y M</t>
  </si>
  <si>
    <t>Shivamma S</t>
  </si>
  <si>
    <t>Veena Bandenavar</t>
  </si>
  <si>
    <t>06 Days</t>
  </si>
  <si>
    <t>Dr.Rudramma J</t>
  </si>
  <si>
    <t>WA  /RA /  IR</t>
  </si>
  <si>
    <t xml:space="preserve">Dr.Jayalakshmi </t>
  </si>
  <si>
    <t>Mode of Leave</t>
  </si>
  <si>
    <t>From</t>
  </si>
  <si>
    <t>To</t>
  </si>
  <si>
    <t>Days</t>
  </si>
  <si>
    <t>Remarks</t>
  </si>
  <si>
    <t>Dr.Kavitha Patil</t>
  </si>
  <si>
    <t>Record Keeper / Clerk - Consoli Pay-3</t>
  </si>
  <si>
    <t>Basic</t>
  </si>
  <si>
    <t xml:space="preserve"> Pay Fix / Pay 75%</t>
  </si>
  <si>
    <t>Mr.Ravi Varma</t>
  </si>
  <si>
    <t>Chq No</t>
  </si>
  <si>
    <t xml:space="preserve">Mr.Gangadhar H (Office) </t>
  </si>
  <si>
    <t xml:space="preserve">Mr.Mohammed Javeed (Office)  </t>
  </si>
  <si>
    <t>PF</t>
  </si>
  <si>
    <t>Employers Contribution (13.61%)</t>
  </si>
  <si>
    <t>PF-Employer Contri-13.61% - Group C</t>
  </si>
  <si>
    <t>Provident Fund (12%)</t>
  </si>
  <si>
    <t>RIMS Tax A/c(P.T) 62232189230</t>
  </si>
  <si>
    <t>Sl. No.</t>
  </si>
  <si>
    <t>Name of The Employee / Designation</t>
  </si>
  <si>
    <t>Department</t>
  </si>
  <si>
    <t xml:space="preserve">Basic </t>
  </si>
  <si>
    <t>HRA</t>
  </si>
  <si>
    <t>NPA</t>
  </si>
  <si>
    <t>Others</t>
  </si>
  <si>
    <t>Gross Salary</t>
  </si>
  <si>
    <t>PT</t>
  </si>
  <si>
    <t>IT</t>
  </si>
  <si>
    <t>LIC</t>
  </si>
  <si>
    <t>Total Deduc</t>
  </si>
  <si>
    <t>Net Pay</t>
  </si>
  <si>
    <t>Government of Karnataka</t>
  </si>
  <si>
    <t>Raichur Institute of Medical Sciences, Raichur</t>
  </si>
  <si>
    <t>I</t>
  </si>
  <si>
    <t>Anatomy</t>
  </si>
  <si>
    <t>HRA (10%)</t>
  </si>
  <si>
    <t>Acd. Allow (40%)</t>
  </si>
  <si>
    <t>II</t>
  </si>
  <si>
    <t>Pharmacology</t>
  </si>
  <si>
    <t>Pathology</t>
  </si>
  <si>
    <t>Dr.Rajesh Sangram</t>
  </si>
  <si>
    <t>Gen.Medicine</t>
  </si>
  <si>
    <t>Gen.Surgery</t>
  </si>
  <si>
    <t>Ophthalmology</t>
  </si>
  <si>
    <t>Anaesthesia</t>
  </si>
  <si>
    <t>Dentistry</t>
  </si>
  <si>
    <t>Biochemistry</t>
  </si>
  <si>
    <t>Microbiology</t>
  </si>
  <si>
    <t>III</t>
  </si>
  <si>
    <t xml:space="preserve">Dr.Veerabhadra Gadwal </t>
  </si>
  <si>
    <t xml:space="preserve">Mr.Ziyauddin (Physiology) </t>
  </si>
  <si>
    <t xml:space="preserve">Mr.Gangadharaiah H M (Office) </t>
  </si>
  <si>
    <t xml:space="preserve">Mr.Suresh Kumar D (Office)  </t>
  </si>
  <si>
    <t xml:space="preserve">Mr.M Sridhar (Office) </t>
  </si>
  <si>
    <t xml:space="preserve">Mr.Abdul Zameer </t>
  </si>
  <si>
    <t>PGA</t>
  </si>
  <si>
    <t>Dr.Shivanand K G</t>
  </si>
  <si>
    <t>Physiology</t>
  </si>
  <si>
    <t>Paediatric</t>
  </si>
  <si>
    <t>OBG</t>
  </si>
  <si>
    <t>Orthopedics</t>
  </si>
  <si>
    <t>Radiology</t>
  </si>
  <si>
    <t>Skin &amp; VD</t>
  </si>
  <si>
    <t>Dr.Ramesh B H</t>
  </si>
  <si>
    <t>Psychiatry</t>
  </si>
  <si>
    <t>IV</t>
  </si>
  <si>
    <t>Dr.Md Arshad</t>
  </si>
  <si>
    <t>Dr.Hari Prasad</t>
  </si>
  <si>
    <t>ENT</t>
  </si>
  <si>
    <t>Dr.Christina</t>
  </si>
  <si>
    <t>V</t>
  </si>
  <si>
    <t>Dr.Rajeshwari H</t>
  </si>
  <si>
    <t>GRAND TOTAL</t>
  </si>
  <si>
    <t>TOTAL</t>
  </si>
  <si>
    <t>GPF</t>
  </si>
  <si>
    <t>KGID</t>
  </si>
  <si>
    <t>GIS</t>
  </si>
  <si>
    <t>TOTAL DEDUCTIONS</t>
  </si>
  <si>
    <t>NET PAY</t>
  </si>
  <si>
    <t>NAME OF THE EMPLOYEE</t>
  </si>
  <si>
    <t>AMOUNT</t>
  </si>
  <si>
    <t>PARTICULARS</t>
  </si>
  <si>
    <t>Net Salary Manager SBH, Rcr</t>
  </si>
  <si>
    <t xml:space="preserve">GROSS </t>
  </si>
  <si>
    <t>Director</t>
  </si>
  <si>
    <t>Raichur Institute of Medical Sciences</t>
  </si>
  <si>
    <t>Raichur</t>
  </si>
  <si>
    <t xml:space="preserve">DA </t>
  </si>
  <si>
    <t xml:space="preserve">HRA </t>
  </si>
  <si>
    <t>MA</t>
  </si>
  <si>
    <t>PP</t>
  </si>
  <si>
    <t>SL.  NO.</t>
  </si>
  <si>
    <t>Sl.No.</t>
  </si>
  <si>
    <t>Particulars</t>
  </si>
  <si>
    <t xml:space="preserve">PGA </t>
  </si>
  <si>
    <t xml:space="preserve">Teaching Staff </t>
  </si>
  <si>
    <t>VAN DRIVERS - 2 - Temporary           Working-4 (Basic Pay Rs.11600/-)</t>
  </si>
  <si>
    <t>Absorbed Doctors</t>
  </si>
  <si>
    <t>Total</t>
  </si>
  <si>
    <t>EPF</t>
  </si>
  <si>
    <t>Gross Total</t>
  </si>
  <si>
    <t>Amount</t>
  </si>
  <si>
    <t>Cheque No.</t>
  </si>
  <si>
    <t>Date</t>
  </si>
  <si>
    <t>Manager SBH RIMS</t>
  </si>
  <si>
    <t>Professional Tax</t>
  </si>
  <si>
    <t>GROSS SALARY</t>
  </si>
  <si>
    <t>Cheque No</t>
  </si>
  <si>
    <t>The Manager SBH RIMS Raichur</t>
  </si>
  <si>
    <t>Chq.No.</t>
  </si>
  <si>
    <t xml:space="preserve">Mr.G V Ramesh </t>
  </si>
  <si>
    <t xml:space="preserve">Dr.Radha S </t>
  </si>
  <si>
    <t>Chq Amount</t>
  </si>
  <si>
    <t xml:space="preserve">Acd.  Allow </t>
  </si>
  <si>
    <t>RAICHUR INSTITUTE OF MEDICAL SCIENCES RAICHUR</t>
  </si>
  <si>
    <t xml:space="preserve">Raichur </t>
  </si>
  <si>
    <t>LIC Raichur</t>
  </si>
  <si>
    <t>Dr.Basavaraj V Peerapur</t>
  </si>
  <si>
    <t>DA (177%)</t>
  </si>
  <si>
    <t>Dr.Shivanand Doddamani (Duty Reported on 21.10.2011)</t>
  </si>
  <si>
    <t>Dr.Shivanand Doddamani - Nov-11</t>
  </si>
  <si>
    <t>PGA (12%)</t>
  </si>
  <si>
    <t>SP / WA/ SFN</t>
  </si>
  <si>
    <t>Income Tax-  RIMS Tax A/c(I.T) 62232189230</t>
  </si>
  <si>
    <t/>
  </si>
  <si>
    <t xml:space="preserve">Acd. Allow </t>
  </si>
  <si>
    <t xml:space="preserve">HRA (10%) </t>
  </si>
  <si>
    <t>O.S-INCHARGE (Post not Sanctioned)</t>
  </si>
  <si>
    <t>Mrs.Samapthi Shende (Anatomy)</t>
  </si>
  <si>
    <t>VIII</t>
  </si>
  <si>
    <t>Mrs.Pushpalatha (Community Medicine)</t>
  </si>
  <si>
    <t>Mr.Ravindranath (Anatomy)</t>
  </si>
  <si>
    <t>Sri.Md.Arif</t>
  </si>
  <si>
    <t>GROSS TOTAL</t>
  </si>
  <si>
    <t>Sl.  No.</t>
  </si>
  <si>
    <t>Dr.Shamanna</t>
  </si>
  <si>
    <t xml:space="preserve">Mr.Gangappa  </t>
  </si>
  <si>
    <t xml:space="preserve">Mr.Sharana Basava (Hospital)           </t>
  </si>
  <si>
    <t>Balappa Pujari</t>
  </si>
  <si>
    <t>23.02.2014</t>
  </si>
  <si>
    <t>09.03.2014</t>
  </si>
  <si>
    <t>24.02.2014</t>
  </si>
  <si>
    <t>05.03.2014</t>
  </si>
  <si>
    <t>01.03.2014</t>
  </si>
  <si>
    <t>Dr.Jagjeevanram T K</t>
  </si>
  <si>
    <t>20.03.2014</t>
  </si>
  <si>
    <t>23 Days</t>
  </si>
  <si>
    <t>Recovry /F.A.</t>
  </si>
  <si>
    <t xml:space="preserve">WA /  RA   </t>
  </si>
  <si>
    <t>Professors-21</t>
  </si>
  <si>
    <t>Dean Cum Director-01</t>
  </si>
  <si>
    <t>Associate Professor- 31</t>
  </si>
  <si>
    <t>Assistant Professor-40</t>
  </si>
  <si>
    <t>Laboratorty Tech. Deputed from                    BRIMS &amp; VIMS -(5)</t>
  </si>
  <si>
    <t>GSLI</t>
  </si>
  <si>
    <t>Mr.Riyaz Khan</t>
  </si>
  <si>
    <t>GSLI Raichur</t>
  </si>
  <si>
    <t>IX</t>
  </si>
  <si>
    <t>X</t>
  </si>
  <si>
    <t>XI</t>
  </si>
  <si>
    <t>XII</t>
  </si>
  <si>
    <t xml:space="preserve">Mr.Srinivas </t>
  </si>
  <si>
    <t>Mr.Narasimulu</t>
  </si>
  <si>
    <t>Mr.Hussain Basha</t>
  </si>
  <si>
    <t xml:space="preserve">Mr.Dharmaraj </t>
  </si>
  <si>
    <t xml:space="preserve">Mr.Nuruddin Sadiq </t>
  </si>
  <si>
    <t xml:space="preserve">Mr.Govardhan </t>
  </si>
  <si>
    <t xml:space="preserve">Mr.Gopal D (Hostel) </t>
  </si>
  <si>
    <t xml:space="preserve">Mr.Venkatesh S/o Balappa (Pharmacology)             </t>
  </si>
  <si>
    <t xml:space="preserve">Mr.Shivaji Rao </t>
  </si>
  <si>
    <t xml:space="preserve">Mr.Shivaraj N </t>
  </si>
  <si>
    <t xml:space="preserve">Mr.M.Abdul Abrar                   </t>
  </si>
  <si>
    <t>25.03.2014</t>
  </si>
  <si>
    <t>Basavaraj Sobared</t>
  </si>
  <si>
    <t>21.02.2014</t>
  </si>
  <si>
    <t>Sanctioned on 24.02.2014</t>
  </si>
  <si>
    <t>03.03.2014</t>
  </si>
  <si>
    <t>29.03.2014</t>
  </si>
  <si>
    <t>27 Days</t>
  </si>
  <si>
    <t>Sanctioned on 03.03.2014</t>
  </si>
  <si>
    <t>Dharm Singh</t>
  </si>
  <si>
    <t>02.03.2014</t>
  </si>
  <si>
    <t>11.03.2014</t>
  </si>
  <si>
    <t>Sanctioned on 11.03.2014</t>
  </si>
  <si>
    <t>Reshma Yelgukar</t>
  </si>
  <si>
    <t>12.03.2014</t>
  </si>
  <si>
    <t>Sanctioned on 17.03.2014</t>
  </si>
  <si>
    <t>Dr.Ramesh Babu</t>
  </si>
  <si>
    <t>21.03.2014</t>
  </si>
  <si>
    <t>01.04.2014</t>
  </si>
  <si>
    <t>12 Days</t>
  </si>
  <si>
    <t>Smt.Pratima K S</t>
  </si>
  <si>
    <t>03.04.2014</t>
  </si>
  <si>
    <t>Sanctioned on 25.03.2014</t>
  </si>
  <si>
    <t>Mohd Shafiulla</t>
  </si>
  <si>
    <t>24.03.2014</t>
  </si>
  <si>
    <t>02.04.2014</t>
  </si>
  <si>
    <t>17.03.2014</t>
  </si>
  <si>
    <t>05.04.2014</t>
  </si>
  <si>
    <t>20 Days</t>
  </si>
  <si>
    <t>Dr.A Srinivas Murthy</t>
  </si>
  <si>
    <t>23.03.2014</t>
  </si>
  <si>
    <t>Sharanappa Sudi</t>
  </si>
  <si>
    <t>Peternity Leave</t>
  </si>
  <si>
    <t>08.03.2014</t>
  </si>
  <si>
    <t>22.03.2014</t>
  </si>
  <si>
    <t>Mr.G.Narayana - Hospital</t>
  </si>
  <si>
    <t>Mr.Veeresh Reddy-Hospital</t>
  </si>
  <si>
    <t>Mrs.Sandhya  P</t>
  </si>
  <si>
    <t xml:space="preserve">Mr.Md.Ghouse Pahsa </t>
  </si>
  <si>
    <t xml:space="preserve">Mr.Veeresh C (Hospital) </t>
  </si>
  <si>
    <t xml:space="preserve">Mr.P.Narasimharaju </t>
  </si>
  <si>
    <t>Mr.Gopala B (Hospital)</t>
  </si>
  <si>
    <t xml:space="preserve">Mr.Faruk Hussain (Store) </t>
  </si>
  <si>
    <t xml:space="preserve">Mr.Bheema Reddy  K  (Hospital) </t>
  </si>
  <si>
    <t xml:space="preserve">Mr.Thimmappa (Biochemistry) </t>
  </si>
  <si>
    <t>Mr.Dodda Earanna (Hospital)</t>
  </si>
  <si>
    <t xml:space="preserve">Lingaraj S/o Mallappa H (O.T)       </t>
  </si>
  <si>
    <t>Mr.K.Mahesh (Hospital)</t>
  </si>
  <si>
    <t>Mr.Veeresh-Auto (Night Shift)</t>
  </si>
  <si>
    <t>Mr.Nazeer Miyan (Hospital)</t>
  </si>
  <si>
    <t>Mr.Gurusiddappa (Hospital)</t>
  </si>
  <si>
    <t xml:space="preserve">Parasappa A Kambli S/o Amarsidha Kamble  </t>
  </si>
  <si>
    <t>`</t>
  </si>
  <si>
    <t>Vacant-2</t>
  </si>
  <si>
    <t>SFN/Oth</t>
  </si>
  <si>
    <t>Mr.M.Veeresh (Physiology)</t>
  </si>
  <si>
    <t>Store Keeper cum Clerk</t>
  </si>
  <si>
    <t xml:space="preserve">Swayam Prakash S/o Madeppa </t>
  </si>
  <si>
    <t xml:space="preserve">Santosh Patil S/o Prabhu Patil    </t>
  </si>
  <si>
    <t>Santosh Patil</t>
  </si>
  <si>
    <t>Nutritional &amp; Rehabilitation Centre Staff Salary</t>
  </si>
  <si>
    <t>Name of the Employees</t>
  </si>
  <si>
    <t>Designation</t>
  </si>
  <si>
    <t>Pay Fixed on Consolidated</t>
  </si>
  <si>
    <t>Gross Consolidated Pay Paid During the Month</t>
  </si>
  <si>
    <t>Total Deduction</t>
  </si>
  <si>
    <t>Net Amount</t>
  </si>
  <si>
    <t>Medical Officer</t>
  </si>
  <si>
    <t>MSW</t>
  </si>
  <si>
    <t>Staff Nurse</t>
  </si>
  <si>
    <t>Cook</t>
  </si>
  <si>
    <t>Attender</t>
  </si>
  <si>
    <t>Earned Leave</t>
  </si>
  <si>
    <t xml:space="preserve">Savitha H,  D/o Gurunath (O.T.) </t>
  </si>
  <si>
    <t>Mr.Narasimha G. (Hostel)</t>
  </si>
  <si>
    <t>Mr.Bheemappa (Hospital)</t>
  </si>
  <si>
    <t>Mr.Md.Rafiuddin (Hospital)</t>
  </si>
  <si>
    <t xml:space="preserve">Mr.Narasappa K (Hospital) </t>
  </si>
  <si>
    <t xml:space="preserve">Dr.Rashmi Kumari T R </t>
  </si>
  <si>
    <t xml:space="preserve">Mrs.Shobha Rani B </t>
  </si>
  <si>
    <t>VI</t>
  </si>
  <si>
    <t xml:space="preserve">Mrs. Vijay Laxmi (Biochemistry) </t>
  </si>
  <si>
    <t xml:space="preserve">Mr.Shivaraj K Chavadi (Pharmacology) </t>
  </si>
  <si>
    <t xml:space="preserve">Saritha D/o Pampapathi </t>
  </si>
  <si>
    <t xml:space="preserve">Bhagyamma G. D. D/o Durgappa D   </t>
  </si>
  <si>
    <t>Mr.Jagadish (Hospital)</t>
  </si>
  <si>
    <t xml:space="preserve">Mr.Vijaybhaskar </t>
  </si>
  <si>
    <t xml:space="preserve">Mr.Mallikarjun G </t>
  </si>
  <si>
    <t xml:space="preserve">Mr.Ramesh </t>
  </si>
  <si>
    <t xml:space="preserve">Mr.Sridhar G </t>
  </si>
  <si>
    <t xml:space="preserve">Mr.Bandappa (Hospital) (Reappointed as a Driver as per Order Ref.No.RIMS /Adm /2012-13/157 Dtd.20.06.2012)                 </t>
  </si>
  <si>
    <t xml:space="preserve">Mrs.Vijaylaxmi     </t>
  </si>
  <si>
    <t>XIII</t>
  </si>
  <si>
    <t>XIV</t>
  </si>
  <si>
    <t>XV</t>
  </si>
  <si>
    <t xml:space="preserve">Mr.Muttu C Tevar  </t>
  </si>
  <si>
    <t>Comm.Medicine</t>
  </si>
  <si>
    <t>Mr.Narasangouda  (Library)</t>
  </si>
  <si>
    <t>Mr.V Babu  (Library)</t>
  </si>
  <si>
    <t xml:space="preserve">Mr.Anjaneyya (Biochemistry)  </t>
  </si>
  <si>
    <t xml:space="preserve">Sarswathi D/o Subramani </t>
  </si>
  <si>
    <t>Mr.Krishna (Hospital)</t>
  </si>
  <si>
    <t>Mr.Gururaj Havale (Biochemistry)</t>
  </si>
  <si>
    <t xml:space="preserve">Mr.Faiz Khan (Pathology)   </t>
  </si>
  <si>
    <t>24.04.2014</t>
  </si>
  <si>
    <t>05.05.2014</t>
  </si>
  <si>
    <t>12 days</t>
  </si>
  <si>
    <t>Snationed qs on 29.04.2014</t>
  </si>
  <si>
    <t>Dr G G Nandurkar`</t>
  </si>
  <si>
    <t xml:space="preserve">09.04.2014 </t>
  </si>
  <si>
    <t>23.04.2014</t>
  </si>
  <si>
    <t>15 days</t>
  </si>
  <si>
    <t>Sanctioned on 16.04.2014</t>
  </si>
  <si>
    <t>Srkantha Yakuddi</t>
  </si>
  <si>
    <t>08.04.2014</t>
  </si>
  <si>
    <t>14.04.2014</t>
  </si>
  <si>
    <t>7 days</t>
  </si>
  <si>
    <t>15.04.2014</t>
  </si>
  <si>
    <t>3 days</t>
  </si>
  <si>
    <t>Sanctioned on 03.04.2014</t>
  </si>
  <si>
    <t>Bagyamma GD</t>
  </si>
  <si>
    <t>12.04.2014</t>
  </si>
  <si>
    <t>21.04.2014</t>
  </si>
  <si>
    <t>10 days</t>
  </si>
  <si>
    <t>Simta S</t>
  </si>
  <si>
    <t>28.03.2014</t>
  </si>
  <si>
    <t>06.04.2014</t>
  </si>
  <si>
    <t>Dr Girish Achalkar</t>
  </si>
  <si>
    <t>11.04.2014</t>
  </si>
  <si>
    <t>Sanctioned on 27.04.2014</t>
  </si>
  <si>
    <t>Mr Prem sagar Wagmore</t>
  </si>
  <si>
    <t>04.04.2014</t>
  </si>
  <si>
    <t>17.04.2014</t>
  </si>
  <si>
    <t>14 Days</t>
  </si>
  <si>
    <t>Sanctioned on 29.04.2014</t>
  </si>
  <si>
    <t>DR Jagjeevanram</t>
  </si>
  <si>
    <t>Relieved</t>
  </si>
  <si>
    <t>Shareen Banu</t>
  </si>
  <si>
    <t>31.05.2014</t>
  </si>
  <si>
    <t>61 days</t>
  </si>
  <si>
    <t>DR Ashok</t>
  </si>
  <si>
    <t>07.03.2014</t>
  </si>
  <si>
    <t>16 days</t>
  </si>
  <si>
    <t>Sanctioned on 28.04.2014</t>
  </si>
  <si>
    <t>Sanctioned on 15.04.2014</t>
  </si>
  <si>
    <t>Dr Nagraj Gadwal</t>
  </si>
  <si>
    <t>18.03.2014</t>
  </si>
  <si>
    <t>16 Days</t>
  </si>
  <si>
    <t>Sanctioned on 19.04.2014</t>
  </si>
  <si>
    <t xml:space="preserve">Mr.B.Thimma Reddy (Hospital) </t>
  </si>
  <si>
    <t>10.04.2014</t>
  </si>
  <si>
    <t>05 Days</t>
  </si>
  <si>
    <t>Sanctioned on 05.05.2014</t>
  </si>
  <si>
    <t>Dr Wasim Miya</t>
  </si>
  <si>
    <t>30.04.2014</t>
  </si>
  <si>
    <t>09.05.2014</t>
  </si>
  <si>
    <t>DR Harish Murthy</t>
  </si>
  <si>
    <t>04.05.2014</t>
  </si>
  <si>
    <t>31 Days</t>
  </si>
  <si>
    <t>12.05.2014</t>
  </si>
  <si>
    <t>17.05.2014</t>
  </si>
  <si>
    <t>06 days</t>
  </si>
  <si>
    <t>Santioned as on 14.05.2014</t>
  </si>
  <si>
    <t>10,11.05.2014</t>
  </si>
  <si>
    <t>18.05.2014</t>
  </si>
  <si>
    <t>Dr Basavarj M Patil</t>
  </si>
  <si>
    <t>30.06.2014</t>
  </si>
  <si>
    <t>31 days</t>
  </si>
  <si>
    <t>Sanctioned on 28.05.2014</t>
  </si>
  <si>
    <t>Mr.Venkoba (Hospital)</t>
  </si>
  <si>
    <t>Smt.Jayashree (Hospital)</t>
  </si>
  <si>
    <t>Nayeem Yasim</t>
  </si>
  <si>
    <t>14.11.2013</t>
  </si>
  <si>
    <t>13.05.2014</t>
  </si>
  <si>
    <t>DR Shamma</t>
  </si>
  <si>
    <t>18.04.2014</t>
  </si>
  <si>
    <t>28.04.2014</t>
  </si>
  <si>
    <t>11 days</t>
  </si>
  <si>
    <t>Dr Nagraj V Gadwal</t>
  </si>
  <si>
    <t>01.05.2014</t>
  </si>
  <si>
    <t>02.05.2014</t>
  </si>
  <si>
    <t>Santioned on 15.05.2014</t>
  </si>
  <si>
    <t>DR Mahendra</t>
  </si>
  <si>
    <t>21.05.2014</t>
  </si>
  <si>
    <t>Santioned on 28.05.2014</t>
  </si>
  <si>
    <t>Kavitha S</t>
  </si>
  <si>
    <t>11.05.2014</t>
  </si>
  <si>
    <t>25.05.2014</t>
  </si>
  <si>
    <t>Santioned on 29.05.2014</t>
  </si>
  <si>
    <t>Dr Srinivas Arer</t>
  </si>
  <si>
    <t>16.05.2014AN</t>
  </si>
  <si>
    <t>Santioned on 16.05.2014</t>
  </si>
  <si>
    <t xml:space="preserve">Nayeema Yasmin D/o Lalsab </t>
  </si>
  <si>
    <t>Dr Vasudev Jagirdar</t>
  </si>
  <si>
    <t>01.06.2014</t>
  </si>
  <si>
    <t>30 days</t>
  </si>
  <si>
    <t>Santioned on 31.05.2014</t>
  </si>
  <si>
    <t>Dr Siddesh Kumar</t>
  </si>
  <si>
    <t>02.06.2014</t>
  </si>
  <si>
    <t>11.06.2014</t>
  </si>
  <si>
    <t>10 days`</t>
  </si>
  <si>
    <t>Dr Kavita Patil</t>
  </si>
  <si>
    <t>08.06.2014</t>
  </si>
  <si>
    <t>6 days</t>
  </si>
  <si>
    <t>Santioned on 02.06.2014</t>
  </si>
  <si>
    <t>Samapthi Sidde</t>
  </si>
  <si>
    <t>13.06.2014</t>
  </si>
  <si>
    <t>Dr VM Pujari</t>
  </si>
  <si>
    <t>GV Ramesh</t>
  </si>
  <si>
    <t>03.06.2014</t>
  </si>
  <si>
    <t>12.06.2014</t>
  </si>
  <si>
    <t>Santioned on 03.06.2014</t>
  </si>
  <si>
    <t>Dr Basan Gouda Patil</t>
  </si>
  <si>
    <t>Dr Rajesh Sangram</t>
  </si>
  <si>
    <t>02.06.2014 AN</t>
  </si>
  <si>
    <t>Dr Shashikala P (Peadtrics)</t>
  </si>
  <si>
    <t>20.06.2014</t>
  </si>
  <si>
    <t>20 days</t>
  </si>
  <si>
    <t>Santioned on 06.06.2014</t>
  </si>
  <si>
    <t>Dr Puspjalli Malipatil</t>
  </si>
  <si>
    <t>05.06.2014</t>
  </si>
  <si>
    <t>21.06.2014</t>
  </si>
  <si>
    <t>17 days</t>
  </si>
  <si>
    <t>Dr Chandrshekar</t>
  </si>
  <si>
    <t>RS 750/- Boys Hostel Warden</t>
  </si>
  <si>
    <t>Dr Ramesh B H</t>
  </si>
  <si>
    <t>Sanctioned on 30.05.2014</t>
  </si>
  <si>
    <t>04.06.2014</t>
  </si>
  <si>
    <t>Dr Girish Achlaker</t>
  </si>
  <si>
    <t>Dr Rahul Kirte</t>
  </si>
  <si>
    <t>16.06.2014</t>
  </si>
  <si>
    <t>25.06.2014</t>
  </si>
  <si>
    <t>Sanctioned on 09.06.2014</t>
  </si>
  <si>
    <t>Basavaraj Kumbar</t>
  </si>
  <si>
    <t>Sanctioned on 10.06.2014</t>
  </si>
  <si>
    <t>Shivamm S</t>
  </si>
  <si>
    <t>15.05.2014</t>
  </si>
  <si>
    <t>20.05.2014</t>
  </si>
  <si>
    <t>Geeta Kulkarni</t>
  </si>
  <si>
    <t>09.06.2014</t>
  </si>
  <si>
    <t>13 days</t>
  </si>
  <si>
    <t>Shree Harsha</t>
  </si>
  <si>
    <t>Dr Deen Prakash Rajjan</t>
  </si>
  <si>
    <t>15.06.2014</t>
  </si>
  <si>
    <t>Sanctioned on 06.06.2014</t>
  </si>
  <si>
    <t>Smitha</t>
  </si>
  <si>
    <t>Mr.Prakash (Hospital)</t>
  </si>
  <si>
    <t>Dr Namita</t>
  </si>
  <si>
    <t>Smitha S</t>
  </si>
  <si>
    <t>07.04.2014</t>
  </si>
  <si>
    <t>59 days</t>
  </si>
  <si>
    <t>Sanctioned on 19.06.2014</t>
  </si>
  <si>
    <t>Yesudas</t>
  </si>
  <si>
    <t>Sanctioned on 16.06.2014</t>
  </si>
  <si>
    <t>Dr Kanachalapathi</t>
  </si>
  <si>
    <t>10.07.2014</t>
  </si>
  <si>
    <t>Mr.Anjineyya (Hospital)</t>
  </si>
  <si>
    <t>Geetha Bai</t>
  </si>
  <si>
    <t>19.06.2014</t>
  </si>
  <si>
    <t>Sanctioned on 28.06.2014</t>
  </si>
  <si>
    <t>Parasuram</t>
  </si>
  <si>
    <t>06.06.2014</t>
  </si>
  <si>
    <t>5 days</t>
  </si>
  <si>
    <t>Vijay Kumar BT</t>
  </si>
  <si>
    <t>23.05.2014</t>
  </si>
  <si>
    <t xml:space="preserve">15 days </t>
  </si>
  <si>
    <t>Neel Ganga</t>
  </si>
  <si>
    <t>24.06.2014</t>
  </si>
  <si>
    <t xml:space="preserve">10 days </t>
  </si>
  <si>
    <t>Dr Srinivas Murthy</t>
  </si>
  <si>
    <t>07.06.2014</t>
  </si>
  <si>
    <t>4 days</t>
  </si>
  <si>
    <t>Sanctioned on 25.06.2014</t>
  </si>
  <si>
    <t>9 days</t>
  </si>
  <si>
    <t>Dr Sadanad Pujari</t>
  </si>
  <si>
    <t>03.07.2014</t>
  </si>
  <si>
    <t>18 days</t>
  </si>
  <si>
    <t>15.07.2014</t>
  </si>
  <si>
    <t>Vijaylaxmi</t>
  </si>
  <si>
    <t>27.05.2014</t>
  </si>
  <si>
    <t>24 days</t>
  </si>
  <si>
    <t xml:space="preserve">Miss.Earamma (Office) </t>
  </si>
  <si>
    <t xml:space="preserve">Record Keeper / Clerk </t>
  </si>
  <si>
    <t>Vacant-14</t>
  </si>
  <si>
    <t>Anitha Rajput</t>
  </si>
  <si>
    <t>23.06.2014</t>
  </si>
  <si>
    <t>02.07.2014</t>
  </si>
  <si>
    <t>Sanctioned on 02.07.2014</t>
  </si>
  <si>
    <t>05.07.2014</t>
  </si>
  <si>
    <t>Mr Premsagar Wagmore</t>
  </si>
  <si>
    <t>Dr Rashmi</t>
  </si>
  <si>
    <t>14.07.2014</t>
  </si>
  <si>
    <t>31.07.2014</t>
  </si>
  <si>
    <t>Sanctioned on 09.07.2014</t>
  </si>
  <si>
    <t>Dr Shankar Gouwda Ireddy</t>
  </si>
  <si>
    <t>23.07.2014</t>
  </si>
  <si>
    <t>Sanctioned on 11.07.2014</t>
  </si>
  <si>
    <t>Mr Sharnappa</t>
  </si>
  <si>
    <t>19.07.2014</t>
  </si>
  <si>
    <t>Smt. Harini</t>
  </si>
  <si>
    <t>09.07.2014</t>
  </si>
  <si>
    <t>18.07.2014</t>
  </si>
  <si>
    <t xml:space="preserve">Md.Shafiulla S/o Md.Buden </t>
  </si>
  <si>
    <t>19.05.2014</t>
  </si>
  <si>
    <t>26 days</t>
  </si>
  <si>
    <t>Sanctioned on 10.06.2014 &amp; 04.07.2014</t>
  </si>
  <si>
    <t>Smt Geetha Bai</t>
  </si>
  <si>
    <t>2 days</t>
  </si>
  <si>
    <t>Sanctioned on 23.07.2014</t>
  </si>
  <si>
    <t>Smt Shivamma</t>
  </si>
  <si>
    <t>Smt Bhagayamma GD</t>
  </si>
  <si>
    <t>28.07.2014</t>
  </si>
  <si>
    <t>Sanctioned on 19.07.2014</t>
  </si>
  <si>
    <t>Reshma Yalgukur</t>
  </si>
  <si>
    <t>Dr Nagaraj S Javali</t>
  </si>
  <si>
    <t>26.06.2014</t>
  </si>
  <si>
    <t>Sanctioned on 25.07.2014</t>
  </si>
  <si>
    <t>Dr Ravi Shankar G (Anatommy)</t>
  </si>
  <si>
    <t>30.07.2014</t>
  </si>
  <si>
    <t>08.08.2014</t>
  </si>
  <si>
    <t>Sanctioned on 28.07.2014</t>
  </si>
  <si>
    <t>Mr Prem Sagar</t>
  </si>
  <si>
    <t>21.07.2014</t>
  </si>
  <si>
    <t>26.07.2014</t>
  </si>
  <si>
    <t>Sanctioned on 26.07.2014</t>
  </si>
  <si>
    <t xml:space="preserve">Dr.Nagaraj V Gadwal </t>
  </si>
  <si>
    <t xml:space="preserve">Dr.V B Malipatil   </t>
  </si>
  <si>
    <t xml:space="preserve">Dr.Amardev Sardar </t>
  </si>
  <si>
    <t xml:space="preserve">Dr.Shobha Siddesh  </t>
  </si>
  <si>
    <t xml:space="preserve">Dr.Mahendra S </t>
  </si>
  <si>
    <t xml:space="preserve">Neela Ganga D/o M.Thotappa  </t>
  </si>
  <si>
    <t>Pratima</t>
  </si>
  <si>
    <t>27.07.2014</t>
  </si>
  <si>
    <t>22.01.2015</t>
  </si>
  <si>
    <t>180 days</t>
  </si>
  <si>
    <t>Sanctioned on 06.08.2014</t>
  </si>
  <si>
    <t>Mr. Yajrayya</t>
  </si>
  <si>
    <t>16.08.2014</t>
  </si>
  <si>
    <t>23.08.2014</t>
  </si>
  <si>
    <t>8 days</t>
  </si>
  <si>
    <t>Sanctioned on 20.08.2014</t>
  </si>
  <si>
    <t>Smt Vijaylaxmi (Asst Prof) Anatomy</t>
  </si>
  <si>
    <t>02.08.2014</t>
  </si>
  <si>
    <t>03 days</t>
  </si>
  <si>
    <t>Sanctioned on 13.08.2014</t>
  </si>
  <si>
    <t>Vijaykumar BT</t>
  </si>
  <si>
    <t>18.08.2014</t>
  </si>
  <si>
    <t>28.08.2014</t>
  </si>
  <si>
    <t>Dr Naveen N S (Asst Prof)</t>
  </si>
  <si>
    <t>Dr Nagraj Javali (Asst Prof)</t>
  </si>
  <si>
    <t>14.08.2014</t>
  </si>
  <si>
    <t>25.08.2014</t>
  </si>
  <si>
    <t>Srishail Shanker (Staff Nurse)</t>
  </si>
  <si>
    <t>06.08.2014</t>
  </si>
  <si>
    <t>15 DAYS</t>
  </si>
  <si>
    <t>Sanctioned on 05.08.2014</t>
  </si>
  <si>
    <t>22.08.2014</t>
  </si>
  <si>
    <t>30.08.2014</t>
  </si>
  <si>
    <t>Sanctioned on 22.08.2014</t>
  </si>
  <si>
    <t>Dr Ramesh BH</t>
  </si>
  <si>
    <t>21.08.2014</t>
  </si>
  <si>
    <t>06.09.2014</t>
  </si>
  <si>
    <t>Sanctioned on 21.08.2014</t>
  </si>
  <si>
    <t>Dr Venkatesh Naik</t>
  </si>
  <si>
    <t>04.09.2014</t>
  </si>
  <si>
    <t>Mohd Rafi</t>
  </si>
  <si>
    <t>01.08.2014</t>
  </si>
  <si>
    <t>Sanctioned on 04.08.2014</t>
  </si>
  <si>
    <t>Chandrsekar</t>
  </si>
  <si>
    <t>Mr. Raviverma</t>
  </si>
  <si>
    <t>19.08.2014, 20.08.2014</t>
  </si>
  <si>
    <t>Sanctioned on 27.08.2014</t>
  </si>
  <si>
    <t>Elzibeth Rani</t>
  </si>
  <si>
    <t>Sanctioned on 01.09.2014</t>
  </si>
  <si>
    <t>Dr Anil kumar DN</t>
  </si>
  <si>
    <t>13.08.2014</t>
  </si>
  <si>
    <t>40 days</t>
  </si>
  <si>
    <t>11.08.2014</t>
  </si>
  <si>
    <t>12.08.2014</t>
  </si>
  <si>
    <t>Sanctioned on 1.09.2014</t>
  </si>
  <si>
    <t xml:space="preserve">Veeramma D/o Balappa   </t>
  </si>
  <si>
    <t>Vacant-06</t>
  </si>
  <si>
    <t>Mr.S H Mallikarjun (Hospital)</t>
  </si>
  <si>
    <t>29.09.2014</t>
  </si>
  <si>
    <t>01.10.2014</t>
  </si>
  <si>
    <t>Sanctioned on 23.09.2014</t>
  </si>
  <si>
    <t>10.09.2014</t>
  </si>
  <si>
    <t>24.09.2014</t>
  </si>
  <si>
    <t xml:space="preserve">Smt Tulsedevi T </t>
  </si>
  <si>
    <t>Dr. Mahesh Kumar (Patho)</t>
  </si>
  <si>
    <t>06.10.2014</t>
  </si>
  <si>
    <t>15.10.2014</t>
  </si>
  <si>
    <t>Dr Basavaraj M (Medicine)</t>
  </si>
  <si>
    <t>27.08.2014</t>
  </si>
  <si>
    <t>17.09.2014</t>
  </si>
  <si>
    <t>22 days</t>
  </si>
  <si>
    <t>01.09.2014</t>
  </si>
  <si>
    <t>6 dasy</t>
  </si>
  <si>
    <t>Sanctioned on 12.09.2014</t>
  </si>
  <si>
    <t xml:space="preserve">Dr Shivappa </t>
  </si>
  <si>
    <t>12.09.2014</t>
  </si>
  <si>
    <t>DR Itagi</t>
  </si>
  <si>
    <t>08.09.2014</t>
  </si>
  <si>
    <t>5 dasy</t>
  </si>
  <si>
    <t>02.09.2014</t>
  </si>
  <si>
    <t>31.08.2014</t>
  </si>
  <si>
    <t>14.09.2014</t>
  </si>
  <si>
    <t>Savitha G (OT)</t>
  </si>
  <si>
    <t>05.09.2014</t>
  </si>
  <si>
    <t>Shivaraj Chavadi</t>
  </si>
  <si>
    <t>03.09.2014</t>
  </si>
  <si>
    <t>3 dasy</t>
  </si>
  <si>
    <t>Sanctioned on 18.09.2014</t>
  </si>
  <si>
    <t>Tulsedevi T</t>
  </si>
  <si>
    <t>Dr Shankar Ireddy</t>
  </si>
  <si>
    <t>Sanctioned on 08.09.2014</t>
  </si>
  <si>
    <t>Dr Ramesh</t>
  </si>
  <si>
    <t>05 days</t>
  </si>
  <si>
    <t>Sanctioned on 29.09.2014</t>
  </si>
  <si>
    <t>Dr Rudramma</t>
  </si>
  <si>
    <t>27.09.2014</t>
  </si>
  <si>
    <t>Sanctioned on 27.09.2014</t>
  </si>
  <si>
    <t>Dr Mahendra B</t>
  </si>
  <si>
    <t>Patho</t>
  </si>
  <si>
    <t>Elizebath Rani</t>
  </si>
  <si>
    <t>30.09.2014</t>
  </si>
  <si>
    <t>11.10.2014</t>
  </si>
  <si>
    <t>Sanctioned on 29.10.2014</t>
  </si>
  <si>
    <t>13.10.2014</t>
  </si>
  <si>
    <t>Sanctioned on 13.10.2014</t>
  </si>
  <si>
    <t>Reshma</t>
  </si>
  <si>
    <t>Sanctioned on 14.10.2014</t>
  </si>
  <si>
    <t>Forensic Medicine</t>
  </si>
  <si>
    <t>Dr Sreekantha</t>
  </si>
  <si>
    <t xml:space="preserve">Dr Basavaraj Patil </t>
  </si>
  <si>
    <t xml:space="preserve">Dr Sharanabasavappa Karaddi </t>
  </si>
  <si>
    <t xml:space="preserve">Dr Mohd. Fayazuddin </t>
  </si>
  <si>
    <t>Dr Rashmi M B</t>
  </si>
  <si>
    <t xml:space="preserve">Dr H K Prakash </t>
  </si>
  <si>
    <t xml:space="preserve">Dr Vijay Kumar </t>
  </si>
  <si>
    <t>Smt Neel Ganga</t>
  </si>
  <si>
    <t>21.10.2014</t>
  </si>
  <si>
    <t>25.10.2014</t>
  </si>
  <si>
    <t>Sanctioned on 21.10.2014</t>
  </si>
  <si>
    <t>Smt Tulsedevi T</t>
  </si>
  <si>
    <t>20.10.2014</t>
  </si>
  <si>
    <t>Dr Prathibha H</t>
  </si>
  <si>
    <t>29.10.2014</t>
  </si>
  <si>
    <t>27.10.2014</t>
  </si>
  <si>
    <t>31.10.2014</t>
  </si>
  <si>
    <t>Srikanth Yakuddi</t>
  </si>
  <si>
    <t>05.11.2014</t>
  </si>
  <si>
    <t xml:space="preserve">Dr.Ahamed Hussain </t>
  </si>
  <si>
    <t>Puttaraju S/o Kotrappa</t>
  </si>
  <si>
    <t>Mr.Narashimalu S/o Laxmana (Hospital)</t>
  </si>
  <si>
    <t>22.10.2014</t>
  </si>
  <si>
    <t>26.10.2014</t>
  </si>
  <si>
    <t>23.10.2014</t>
  </si>
  <si>
    <t>Parashuram</t>
  </si>
  <si>
    <t>Dr Ashok</t>
  </si>
  <si>
    <t>12.10.2014</t>
  </si>
  <si>
    <t>Dr Sridhar Yekbote</t>
  </si>
  <si>
    <t>30.10.2014</t>
  </si>
  <si>
    <t>3 days`</t>
  </si>
  <si>
    <t>Dr Rames BH</t>
  </si>
  <si>
    <t>18.10.2014</t>
  </si>
  <si>
    <t>Dr.Pushpanjali Malipatil,</t>
  </si>
  <si>
    <t xml:space="preserve">Casulaty Medical Officer-10                               </t>
  </si>
  <si>
    <t>Rita</t>
  </si>
  <si>
    <t>21.11.2014</t>
  </si>
  <si>
    <t>Manjunath MD</t>
  </si>
  <si>
    <t>Sanctioned on 30.10.2014</t>
  </si>
  <si>
    <t>Riyaz Khan</t>
  </si>
  <si>
    <t>06.11.2014</t>
  </si>
  <si>
    <t>Sanctioned on 07.11.2014</t>
  </si>
  <si>
    <t>DR Girish V Achlkar</t>
  </si>
  <si>
    <t>10.11.2014</t>
  </si>
  <si>
    <t>22.11.2014</t>
  </si>
  <si>
    <t>Santioned on 26.11.2014</t>
  </si>
  <si>
    <t>Dr Shashidhar Patil</t>
  </si>
  <si>
    <t>12.11.2014</t>
  </si>
  <si>
    <t>26.11.2014</t>
  </si>
  <si>
    <t>03.11.2014</t>
  </si>
  <si>
    <t>19.11.2014</t>
  </si>
  <si>
    <t>1 day</t>
  </si>
  <si>
    <t>Dr Ramesh (Surgery)</t>
  </si>
  <si>
    <t>15.11.2014</t>
  </si>
  <si>
    <t>10.12.2014</t>
  </si>
  <si>
    <t>Santioned on 27.11.2014</t>
  </si>
  <si>
    <t>Smt Saritha</t>
  </si>
  <si>
    <t>24.04.2015</t>
  </si>
  <si>
    <t xml:space="preserve">Jaykrishna S/o Krishnamurthy </t>
  </si>
  <si>
    <t>PF-Employer Contri-13.61% - NRC Staff</t>
  </si>
  <si>
    <t>Dr Shivakumar Patil</t>
  </si>
  <si>
    <t>30  days</t>
  </si>
  <si>
    <t>John</t>
  </si>
  <si>
    <t>13.11.2014</t>
  </si>
  <si>
    <t>Santioned on 01.12.2014</t>
  </si>
  <si>
    <t>Bhgyamma GD</t>
  </si>
  <si>
    <t>11.11.2014</t>
  </si>
  <si>
    <t>Dr.Ramakrishna M K</t>
  </si>
  <si>
    <t xml:space="preserve">Dr.Ehtaisham Rahi </t>
  </si>
  <si>
    <t>SP/Oth / SFN</t>
  </si>
  <si>
    <t>Dr Mahesh Kumar CH (Patho)</t>
  </si>
  <si>
    <t>27.12.2014</t>
  </si>
  <si>
    <t>Santioned on 12.12.2014</t>
  </si>
  <si>
    <t>Dr Basavaraj M Patil (Gen Medicine)</t>
  </si>
  <si>
    <t>08.12.2014</t>
  </si>
  <si>
    <t>01.12.2014</t>
  </si>
  <si>
    <t>Dr Mahendra B (Patho)</t>
  </si>
  <si>
    <t>06.12.2014</t>
  </si>
  <si>
    <t>Dr. Shivappa H</t>
  </si>
  <si>
    <t>Dr. Ireddy</t>
  </si>
  <si>
    <t>29.11.2014</t>
  </si>
  <si>
    <t>22.12.2014</t>
  </si>
  <si>
    <t>31.12.2014</t>
  </si>
  <si>
    <t>Santioned on 19.12.2014</t>
  </si>
  <si>
    <t>Dr Basoungouda Patil (Peadtrics)</t>
  </si>
  <si>
    <t>20.12.2014</t>
  </si>
  <si>
    <t>Santioned on 17.12.2014</t>
  </si>
  <si>
    <t>Amurutha Mara</t>
  </si>
  <si>
    <t>Santioned on 16.12.2014</t>
  </si>
  <si>
    <t>Dr Waseem Miya</t>
  </si>
  <si>
    <t>03.12.2014</t>
  </si>
  <si>
    <t>12.12.2014</t>
  </si>
  <si>
    <t>Sharnappa Ilall</t>
  </si>
  <si>
    <t>28.11.2014</t>
  </si>
  <si>
    <t>07.12.2014</t>
  </si>
  <si>
    <t>Dr Rajkumari KS</t>
  </si>
  <si>
    <t>18.12.2014</t>
  </si>
  <si>
    <t>21 days</t>
  </si>
  <si>
    <t>Habbebul Khan</t>
  </si>
  <si>
    <t>Nagesh S M</t>
  </si>
  <si>
    <t>17.12.2014</t>
  </si>
  <si>
    <t>26.12.2014</t>
  </si>
  <si>
    <t>Shivamma S (Satff Nurse)</t>
  </si>
  <si>
    <t>07.01.2015</t>
  </si>
  <si>
    <t>Nagesh SM</t>
  </si>
  <si>
    <t>13.12.2014</t>
  </si>
  <si>
    <t>Santioned on 18.12.2014</t>
  </si>
  <si>
    <t>Savitha HB</t>
  </si>
  <si>
    <t>04.12.2014</t>
  </si>
  <si>
    <t>Santioned on 24.12.2014</t>
  </si>
  <si>
    <t>Hanumatha Reddy</t>
  </si>
  <si>
    <t>15.12.2014</t>
  </si>
  <si>
    <t>Dr Nadurkar</t>
  </si>
  <si>
    <t>Mr GV Ramesh</t>
  </si>
  <si>
    <t>Mr.Sharath Kumar (Office) (Revised Pay Scale as per O.O dated 16.10.2014)</t>
  </si>
  <si>
    <t xml:space="preserve">Mr.Vinayaka kumar    (Revised Pay Scale as per O.O dated 16.10.2014)                                                                        </t>
  </si>
  <si>
    <t xml:space="preserve">Mr.Shivamurthy  (Library) </t>
  </si>
  <si>
    <t xml:space="preserve">Mr.Vijay Kumar G </t>
  </si>
  <si>
    <t>Dr Basavaraj M (Gen Med)</t>
  </si>
  <si>
    <t>05.01.2015</t>
  </si>
  <si>
    <t>31.01.2015</t>
  </si>
  <si>
    <t>27 days</t>
  </si>
  <si>
    <t>Santioned on 09.01.2015</t>
  </si>
  <si>
    <t xml:space="preserve">Dr Rajendra B </t>
  </si>
  <si>
    <t>27.01.2015</t>
  </si>
  <si>
    <t>10.02.2015</t>
  </si>
  <si>
    <t>Dr Shankar Irredy</t>
  </si>
  <si>
    <t>12.01.2015</t>
  </si>
  <si>
    <t>Santioned on 12.01.2015</t>
  </si>
  <si>
    <t>Panchu</t>
  </si>
  <si>
    <t>17.01.2015</t>
  </si>
  <si>
    <t>Kavitha D</t>
  </si>
  <si>
    <t>13.01.2015</t>
  </si>
  <si>
    <t>08.01.2015</t>
  </si>
  <si>
    <t>16.01.2015</t>
  </si>
  <si>
    <t>Sagmesh</t>
  </si>
  <si>
    <t>09.01.2015</t>
  </si>
  <si>
    <t>10.01.2015</t>
  </si>
  <si>
    <t>11.01.2015</t>
  </si>
  <si>
    <t>Chetan kumari</t>
  </si>
  <si>
    <t>14.01.2015</t>
  </si>
  <si>
    <t>Santioned on 13.01.2015</t>
  </si>
  <si>
    <t>Geeta Bai</t>
  </si>
  <si>
    <t>19.01.2015</t>
  </si>
  <si>
    <t>24.01.2015</t>
  </si>
  <si>
    <t>18.01.2015</t>
  </si>
  <si>
    <t>06.02.2015</t>
  </si>
  <si>
    <t>Dr Rahi</t>
  </si>
  <si>
    <t>26.01.2015</t>
  </si>
  <si>
    <t>Sangmesh S</t>
  </si>
  <si>
    <t>Santioned on 17.01.2015</t>
  </si>
  <si>
    <t xml:space="preserve">Anuradha </t>
  </si>
  <si>
    <t>20.01.2015</t>
  </si>
  <si>
    <t>18.07.2015</t>
  </si>
  <si>
    <t>Santioned on 23.01.2015</t>
  </si>
  <si>
    <t>Veeramma Balappa</t>
  </si>
  <si>
    <t>5 das</t>
  </si>
  <si>
    <t>Santioned on 20.01.2015</t>
  </si>
  <si>
    <t xml:space="preserve">Dr.Shankar Gouda Ireddy </t>
  </si>
  <si>
    <t xml:space="preserve">Dr.Nandan Padashetty              </t>
  </si>
  <si>
    <t xml:space="preserve">Dr.Basavaraj M Patil </t>
  </si>
  <si>
    <t xml:space="preserve">Dr.Kiran K N </t>
  </si>
  <si>
    <t xml:space="preserve">Dr.Mahesh Kumar </t>
  </si>
  <si>
    <t>Vanact-8</t>
  </si>
  <si>
    <t xml:space="preserve">Dr.Suman Babu P S </t>
  </si>
  <si>
    <t xml:space="preserve">Dr.Meera Bai </t>
  </si>
  <si>
    <t xml:space="preserve">Mr.Mallikarjun N S/o Karivirappa (Hospital) </t>
  </si>
  <si>
    <t xml:space="preserve">Mr.Siddalingaiah Swamy (Hospital) </t>
  </si>
  <si>
    <t xml:space="preserve">Mr.Bheemanna (Hospital)   </t>
  </si>
  <si>
    <t>DR Prathibha (CMO)</t>
  </si>
  <si>
    <t>28.02.2015</t>
  </si>
  <si>
    <t>36 days</t>
  </si>
  <si>
    <t>Santioned on 03.02.2015</t>
  </si>
  <si>
    <t>DR Shashidhar Patil (Gen Medicine)</t>
  </si>
  <si>
    <t>01.02.2015</t>
  </si>
  <si>
    <t>02.03.2015</t>
  </si>
  <si>
    <t>30 dasy</t>
  </si>
  <si>
    <t>Santioned on 06.02.2015</t>
  </si>
  <si>
    <t>DR Shivappa H</t>
  </si>
  <si>
    <t>07.02.2015</t>
  </si>
  <si>
    <t>11.02.2015</t>
  </si>
  <si>
    <t>Santioned on 10.02.2015</t>
  </si>
  <si>
    <t>Dr Shankargouda Ireddy</t>
  </si>
  <si>
    <t>11.03.2015</t>
  </si>
  <si>
    <t>Santioned on 09.02.2015</t>
  </si>
  <si>
    <t>Sangmesh</t>
  </si>
  <si>
    <t>05.02.2015</t>
  </si>
  <si>
    <t>15.02.2015</t>
  </si>
  <si>
    <t>03.02.2015</t>
  </si>
  <si>
    <t>Palakash P</t>
  </si>
  <si>
    <t>04.02.2015</t>
  </si>
  <si>
    <t>08.02.2015</t>
  </si>
  <si>
    <t>Santioned on 04.02.2015</t>
  </si>
  <si>
    <t>Elzibenth Rani</t>
  </si>
  <si>
    <t>Usha H</t>
  </si>
  <si>
    <t>Santioned on 05.02.2015</t>
  </si>
  <si>
    <t>Vacanat1</t>
  </si>
  <si>
    <t xml:space="preserve">Kavitha       D/o Salvaraj  </t>
  </si>
  <si>
    <t>19.02.2015</t>
  </si>
  <si>
    <t>07.03.2015</t>
  </si>
  <si>
    <t>Santioned on 27.02.2015</t>
  </si>
  <si>
    <t>Chandrasekar</t>
  </si>
  <si>
    <t>24.02.2015</t>
  </si>
  <si>
    <t>15.03.2015</t>
  </si>
  <si>
    <t>20 dasy</t>
  </si>
  <si>
    <t>Santioned on 03.03.2015</t>
  </si>
  <si>
    <t xml:space="preserve">Shivamma S  D/o Siddiah </t>
  </si>
  <si>
    <t xml:space="preserve">Chetana Kumari D/o Pratap Kumar </t>
  </si>
  <si>
    <t xml:space="preserve">Dr.Rahul C Kirte  </t>
  </si>
  <si>
    <t xml:space="preserve">Dr.Vasant R Chavan </t>
  </si>
  <si>
    <t xml:space="preserve">Dr.D P Ranjan </t>
  </si>
  <si>
    <t xml:space="preserve">Dr.Abdul Kaleem Bahadur </t>
  </si>
  <si>
    <t xml:space="preserve">Rekha Y M D/o Manjunath Y T   </t>
  </si>
  <si>
    <t xml:space="preserve">Tulasidevi T D/o Timappa </t>
  </si>
  <si>
    <t xml:space="preserve">Mr.Sudharshan Reddy </t>
  </si>
  <si>
    <t xml:space="preserve">Mr.Srinivas- Hospital </t>
  </si>
  <si>
    <t xml:space="preserve">Saraswathi </t>
  </si>
  <si>
    <t>Saritha</t>
  </si>
  <si>
    <t>Dr Arshad</t>
  </si>
  <si>
    <t>26.02.2015</t>
  </si>
  <si>
    <t>03.03.2015</t>
  </si>
  <si>
    <t>Santioned on 20.02.2015</t>
  </si>
  <si>
    <t xml:space="preserve">Reshma </t>
  </si>
  <si>
    <t>06.03.2015</t>
  </si>
  <si>
    <t>Santioned on 21.02.2015</t>
  </si>
  <si>
    <t>08.03.2015</t>
  </si>
  <si>
    <t>28.03.2015</t>
  </si>
  <si>
    <t>Santioned on 13.03.2015</t>
  </si>
  <si>
    <t>Neel gnga</t>
  </si>
  <si>
    <t>09.03.2015</t>
  </si>
  <si>
    <t>18.03.2015</t>
  </si>
  <si>
    <t>Santioned on 11.03.2015</t>
  </si>
  <si>
    <t>Dr Shankar Gouwd Ireddy</t>
  </si>
  <si>
    <t>12.03.2015</t>
  </si>
  <si>
    <t>30 dys</t>
  </si>
  <si>
    <t>Santioned on 09.03.2015</t>
  </si>
  <si>
    <t>Puttraju</t>
  </si>
  <si>
    <t>05.03.2015</t>
  </si>
  <si>
    <t>Santioned on 07.03.2015</t>
  </si>
  <si>
    <t>Panchksharayya</t>
  </si>
  <si>
    <t>16.03.2015</t>
  </si>
  <si>
    <t>20.03.2015</t>
  </si>
  <si>
    <t>Hanumatthreddy</t>
  </si>
  <si>
    <t>14.03.2015</t>
  </si>
  <si>
    <t>Dr Itagi</t>
  </si>
  <si>
    <t>12.04.2015</t>
  </si>
  <si>
    <t>Santioned on 17.03.2015</t>
  </si>
  <si>
    <t>Dr Prathibha H (CMO)</t>
  </si>
  <si>
    <t>24.08.2015</t>
  </si>
  <si>
    <t>Dhram singh</t>
  </si>
  <si>
    <t>21.03.2015</t>
  </si>
  <si>
    <t>29.03.2015</t>
  </si>
  <si>
    <t>Santioned on 24.03.2015</t>
  </si>
  <si>
    <t>Dr Mahesh Kumar</t>
  </si>
  <si>
    <t>30.03.2015</t>
  </si>
  <si>
    <t>Dewan Ganesh Singh</t>
  </si>
  <si>
    <t xml:space="preserve">Dr.Ravishankar  G  (TBP ) </t>
  </si>
  <si>
    <t xml:space="preserve">Dr.Rajendra B </t>
  </si>
  <si>
    <t xml:space="preserve">Dr.Mahendra B </t>
  </si>
  <si>
    <t xml:space="preserve">Dr.Syed Shahid Irfan </t>
  </si>
  <si>
    <t>17.04.2015</t>
  </si>
  <si>
    <t>Santioned on 07.04.2015</t>
  </si>
  <si>
    <t>Dr Arvind Sagvi</t>
  </si>
  <si>
    <t>16.04.2015</t>
  </si>
  <si>
    <t>30.04.2015</t>
  </si>
  <si>
    <t>Santioned on 10.04.2015</t>
  </si>
  <si>
    <t>06.04.2015</t>
  </si>
  <si>
    <t>11.04.2015</t>
  </si>
  <si>
    <t>03.04.2015</t>
  </si>
  <si>
    <t>02.05.2015</t>
  </si>
  <si>
    <t>30days</t>
  </si>
  <si>
    <t>Mamatha T</t>
  </si>
  <si>
    <t>26.03.2015</t>
  </si>
  <si>
    <t>21.09.2015</t>
  </si>
  <si>
    <t>Mr. Premsagar</t>
  </si>
  <si>
    <t>15.04.2015</t>
  </si>
  <si>
    <t>Nagaraj H</t>
  </si>
  <si>
    <t>Dr Basavaraj M Patil</t>
  </si>
  <si>
    <t>Santioned on 18.04.2015</t>
  </si>
  <si>
    <t>Santsoh Patil</t>
  </si>
  <si>
    <t>20.04.2015</t>
  </si>
  <si>
    <t>19.04.2015</t>
  </si>
  <si>
    <t>26.04.2015</t>
  </si>
  <si>
    <t>14 days</t>
  </si>
  <si>
    <t>Dr Rudramma J</t>
  </si>
  <si>
    <t>25.04.2015</t>
  </si>
  <si>
    <t>Sharnappa Sudi</t>
  </si>
  <si>
    <t>18.04.2015</t>
  </si>
  <si>
    <t>14 dys</t>
  </si>
  <si>
    <t>Mr.Mahesh G  S/o Thimmappa (Duty Reported Continuation order as per this office letter ref.no. RIMS /Adm/14-15/1133 dtd.30.10.14)</t>
  </si>
  <si>
    <t>Dr Amar Verma</t>
  </si>
  <si>
    <t>Santioned on 27.04.2015</t>
  </si>
  <si>
    <t>Dr Veerbdra G</t>
  </si>
  <si>
    <t>09.05.2015</t>
  </si>
  <si>
    <t>10 ady</t>
  </si>
  <si>
    <t>21.04.2015</t>
  </si>
  <si>
    <t>15.05.2015</t>
  </si>
  <si>
    <t>25 days</t>
  </si>
  <si>
    <t>Shafi</t>
  </si>
  <si>
    <t>20.05.2015</t>
  </si>
  <si>
    <t>Dr Ireddy</t>
  </si>
  <si>
    <t>16.05.2015</t>
  </si>
  <si>
    <t>Sharad TK</t>
  </si>
  <si>
    <t>Srikanth Yakkuddi</t>
  </si>
  <si>
    <t>23.04.2015</t>
  </si>
  <si>
    <t>10 dasy</t>
  </si>
  <si>
    <t>Chetan Kumari</t>
  </si>
  <si>
    <t>08.04.2015</t>
  </si>
  <si>
    <t>04.10.2015</t>
  </si>
  <si>
    <t>DR Irfan</t>
  </si>
  <si>
    <t>08.05.2015</t>
  </si>
  <si>
    <t>31 adsy</t>
  </si>
  <si>
    <t>Dr Mohd Arshad</t>
  </si>
  <si>
    <t>27.04.2015</t>
  </si>
  <si>
    <t>22.04.2015</t>
  </si>
  <si>
    <t>10.05.2015</t>
  </si>
  <si>
    <t>19 dasy</t>
  </si>
  <si>
    <t>DR Hariparasad</t>
  </si>
  <si>
    <t>Dr Nandini M Hadagali</t>
  </si>
  <si>
    <t>29.04.2015</t>
  </si>
  <si>
    <t>14.05.2015</t>
  </si>
  <si>
    <t>DR Nanadan Padasheety</t>
  </si>
  <si>
    <t>07.05.2015</t>
  </si>
  <si>
    <t>15 dasy</t>
  </si>
  <si>
    <t>Dr Radha</t>
  </si>
  <si>
    <t>07.04.2015</t>
  </si>
  <si>
    <t>24 dasy</t>
  </si>
  <si>
    <t>05.5.2015</t>
  </si>
  <si>
    <t>Tulsedevi</t>
  </si>
  <si>
    <t>Sharnamma</t>
  </si>
  <si>
    <t>04.05.2015</t>
  </si>
  <si>
    <t>28.04.2015</t>
  </si>
  <si>
    <t xml:space="preserve">Dr.Amar Varma </t>
  </si>
  <si>
    <t>Dr.Subhash Patil (TBP)</t>
  </si>
  <si>
    <t xml:space="preserve">Dr.Suhas Y Choudhari </t>
  </si>
  <si>
    <t>Jagadish Babu</t>
  </si>
  <si>
    <t>19.05.2015</t>
  </si>
  <si>
    <t>23.05.2015</t>
  </si>
  <si>
    <t>Annapurnna</t>
  </si>
  <si>
    <t>12.05.2015</t>
  </si>
  <si>
    <t>12.08.2015</t>
  </si>
  <si>
    <t>92 days</t>
  </si>
  <si>
    <t>24.05.2015</t>
  </si>
  <si>
    <t>Sarswathi</t>
  </si>
  <si>
    <t>03.05.2015</t>
  </si>
  <si>
    <t>03.07.2015</t>
  </si>
  <si>
    <t>62 days</t>
  </si>
  <si>
    <t>Amrutha K Mara</t>
  </si>
  <si>
    <t>22.05.2015</t>
  </si>
  <si>
    <t>Dr Shivappa Hatnoor</t>
  </si>
  <si>
    <t>25.05.2015</t>
  </si>
  <si>
    <t>30.05.2015</t>
  </si>
  <si>
    <t>06.05.2015</t>
  </si>
  <si>
    <t>Sharnappa S Hadagali</t>
  </si>
  <si>
    <t>21.05.2015</t>
  </si>
  <si>
    <t>Vadiraj Udapi</t>
  </si>
  <si>
    <t>01.05.2015</t>
  </si>
  <si>
    <t>Lingraj</t>
  </si>
  <si>
    <t>20.06.2015</t>
  </si>
  <si>
    <t>Dr Shobha Siddesh</t>
  </si>
  <si>
    <t>31.05.2015</t>
  </si>
  <si>
    <t>X-Ray Technicians - Stipend Salary-03                 ((Basic Pay Rs.8000/-)</t>
  </si>
  <si>
    <t>Attender - Stipend -02                                           (Basic Pay Rs.7000/-)</t>
  </si>
  <si>
    <t>Asst. Librrian -1 (Consolidated Pay)</t>
  </si>
  <si>
    <t>14.06.2015</t>
  </si>
  <si>
    <t>Dr. Ranjan</t>
  </si>
  <si>
    <t>Dr. Namita</t>
  </si>
  <si>
    <t>Sharnavva</t>
  </si>
  <si>
    <t>10.06.2015</t>
  </si>
  <si>
    <t>saritha</t>
  </si>
  <si>
    <t>28.06.2015</t>
  </si>
  <si>
    <t>Jesintha</t>
  </si>
  <si>
    <t>13.05.2015</t>
  </si>
  <si>
    <t>11.06.2015</t>
  </si>
  <si>
    <t>30.06.2015</t>
  </si>
  <si>
    <t>01.06.2015</t>
  </si>
  <si>
    <t xml:space="preserve">Dr.S D Mandolkar </t>
  </si>
  <si>
    <t>Hanumantha Reddy S/o Thimma Reddy</t>
  </si>
  <si>
    <t xml:space="preserve">Pratima K S D/o Srinivasa Shetty </t>
  </si>
  <si>
    <t xml:space="preserve">Mr.Mallesh N </t>
  </si>
  <si>
    <t xml:space="preserve">Mr.Prabhakar (Hospital) </t>
  </si>
  <si>
    <t xml:space="preserve">Basavanth John Jobraj S/o John </t>
  </si>
  <si>
    <t>Hnaumathappa X-ray</t>
  </si>
  <si>
    <t>11.05.2015</t>
  </si>
  <si>
    <t>Dr Mahesh</t>
  </si>
  <si>
    <t>06.06.2015</t>
  </si>
  <si>
    <t>Dr Ramesh Babu</t>
  </si>
  <si>
    <t>26.05.2014</t>
  </si>
  <si>
    <t>04.06.2015</t>
  </si>
  <si>
    <t>Dr Inderaj Itagi</t>
  </si>
  <si>
    <t>12.6.2015</t>
  </si>
  <si>
    <t>Dr Girish Achlkar</t>
  </si>
  <si>
    <t>26.05.2015</t>
  </si>
  <si>
    <t>Dr Rajsekar Patil (ENT)</t>
  </si>
  <si>
    <t>05.06.2015</t>
  </si>
  <si>
    <t>O.T Technicians - Stipend Salary-06                 ((Basic Pay Rs.8000/-)</t>
  </si>
  <si>
    <t>DR Rahul</t>
  </si>
  <si>
    <t>13.06.2015</t>
  </si>
  <si>
    <t>24.06.2015</t>
  </si>
  <si>
    <t>Elgibeth Rani</t>
  </si>
  <si>
    <t>07.06.2015</t>
  </si>
  <si>
    <t>Pratima KS</t>
  </si>
  <si>
    <t>18.05.2015</t>
  </si>
  <si>
    <t>02.06.2015</t>
  </si>
  <si>
    <t>Nagraj M Akki</t>
  </si>
  <si>
    <t>12.06.2015</t>
  </si>
  <si>
    <t>21.06.2015</t>
  </si>
  <si>
    <t>14.07.2015</t>
  </si>
  <si>
    <t>Sujatha Devi</t>
  </si>
  <si>
    <t>22.06.2015</t>
  </si>
  <si>
    <t>25.11.2015</t>
  </si>
  <si>
    <t>Maternity</t>
  </si>
  <si>
    <t>Dr Istranusia</t>
  </si>
  <si>
    <t>26.06.2015</t>
  </si>
  <si>
    <t>25.07.2015</t>
  </si>
  <si>
    <t>Dr Nagaraj Javali</t>
  </si>
  <si>
    <t>27.06.2015</t>
  </si>
  <si>
    <t>19.06.2015</t>
  </si>
  <si>
    <t>Dr Nagaraj Gadwal</t>
  </si>
  <si>
    <t>17.06.2015</t>
  </si>
  <si>
    <t>Dr Harish Murthy</t>
  </si>
  <si>
    <t>24.07.2015</t>
  </si>
  <si>
    <t>Smt Radha</t>
  </si>
  <si>
    <t>15.09.2015</t>
  </si>
  <si>
    <t xml:space="preserve">Medical Record Workers -                 (Stipendary salary -01)                                           </t>
  </si>
  <si>
    <t xml:space="preserve">Dr.Aravind Kumar B S </t>
  </si>
  <si>
    <t>Dr Fayazuddin</t>
  </si>
  <si>
    <t>08.07.2015</t>
  </si>
  <si>
    <t>17.07.2015</t>
  </si>
  <si>
    <t>Dr Rajsekar</t>
  </si>
  <si>
    <t>09.07.2015</t>
  </si>
  <si>
    <t>10.08.2015</t>
  </si>
  <si>
    <t>07.07.2015</t>
  </si>
  <si>
    <t>16.07.2015</t>
  </si>
  <si>
    <t>25.06.2015</t>
  </si>
  <si>
    <t>27.07.2015</t>
  </si>
  <si>
    <t>30.07.2015</t>
  </si>
  <si>
    <t>23.07.2015</t>
  </si>
  <si>
    <t>04.07.2015</t>
  </si>
  <si>
    <t xml:space="preserve">Sri.Yajaraiah </t>
  </si>
  <si>
    <t>21.07.2015</t>
  </si>
  <si>
    <t>NP Guruswamy</t>
  </si>
  <si>
    <t>04.08.2015</t>
  </si>
  <si>
    <t>03.01.2016</t>
  </si>
  <si>
    <t>Mohd Shafi</t>
  </si>
  <si>
    <t>20.07.2015</t>
  </si>
  <si>
    <t>Staff Nurse- Stipend (for 6 months)</t>
  </si>
  <si>
    <t>Dr Sumayya Almas (reapponited as O.O No 2015-16/1109  dated 19.06.2015 for 6 months, from 02.07.2015 to 01.01.2016</t>
  </si>
  <si>
    <t>29.06.2015</t>
  </si>
  <si>
    <t>10.07.2015</t>
  </si>
  <si>
    <t>Dr Vijay Kumar Gen Surgery</t>
  </si>
  <si>
    <t>Dr Anil gumaste</t>
  </si>
  <si>
    <t xml:space="preserve">Dr.Shobha Devi Anjineyalu (As per ref.No.RIMS/EST(1)/2015-16/ Dtd.03.08.2015  from 30.07.2015 to 29.01.2016) </t>
  </si>
  <si>
    <t xml:space="preserve">Dr.Rajakumari K S </t>
  </si>
  <si>
    <t>Vacanat-05</t>
  </si>
  <si>
    <t xml:space="preserve">Dr.Shashikala P </t>
  </si>
  <si>
    <t xml:space="preserve">Dr Nagaraj RS </t>
  </si>
  <si>
    <t xml:space="preserve">Dr.Prabhuraj Gaddikeri </t>
  </si>
  <si>
    <t xml:space="preserve">Dr.Shankarappa Mudgal  </t>
  </si>
  <si>
    <t xml:space="preserve">Dr.Abdul Kaleem Siddiqui </t>
  </si>
  <si>
    <t xml:space="preserve">Dr.Ashok </t>
  </si>
  <si>
    <t>Elizabeth Rani  D/o Thomas</t>
  </si>
  <si>
    <t xml:space="preserve">Mr.Kalicharan Shetty  (Re Appointed on Temporary as per Order Ref.No.RIMS/Adm/2015-16/1284 Dtd.08.07.2015)  (From 01.06.2015 to 31.12.2015) </t>
  </si>
  <si>
    <t xml:space="preserve">Shivakumar G Math S/o Gurulingaiah Math </t>
  </si>
  <si>
    <t xml:space="preserve">Shreeharsha S/o Gangappa  </t>
  </si>
  <si>
    <t xml:space="preserve">N.P Guruswamy S/o Pachapillai  </t>
  </si>
  <si>
    <t xml:space="preserve">Panchaksharayya S/o Siddaiah  </t>
  </si>
  <si>
    <t>Anitha B R D/o Bharath Singh</t>
  </si>
  <si>
    <t xml:space="preserve">Reshma Yalagukar D/o Piraj Yalagukar </t>
  </si>
  <si>
    <t xml:space="preserve">Nagaraj H  S/o Murthy H S                  </t>
  </si>
  <si>
    <t>Mr.Narasimulu (Microbiology)</t>
  </si>
  <si>
    <t xml:space="preserve">Hanumanthappa H S/o Pakirappa    </t>
  </si>
  <si>
    <t>Veena</t>
  </si>
  <si>
    <t>28.07.2015</t>
  </si>
  <si>
    <t>02.08.2015</t>
  </si>
  <si>
    <t>13.07.2015</t>
  </si>
  <si>
    <t>Head of Account : 3810-05-105-1-47-101 (Non Plan)</t>
  </si>
  <si>
    <t>Head of Account : 3810-05-105-1-40-101 (Plan)</t>
  </si>
  <si>
    <t xml:space="preserve">Dr.Kavita Patil </t>
  </si>
  <si>
    <t xml:space="preserve">Dr Neha Sukhani </t>
  </si>
  <si>
    <t>Dr Naveen NS</t>
  </si>
  <si>
    <t>20.08.2015</t>
  </si>
  <si>
    <t>29.08.2015</t>
  </si>
  <si>
    <t>27.08.2015</t>
  </si>
  <si>
    <t>26.07.2015</t>
  </si>
  <si>
    <t>Rani</t>
  </si>
  <si>
    <t>15.07.2015</t>
  </si>
  <si>
    <t>29.07.2015</t>
  </si>
  <si>
    <t>05.09.2015</t>
  </si>
  <si>
    <t>Yajrayya</t>
  </si>
  <si>
    <t>22.07.2015</t>
  </si>
  <si>
    <t xml:space="preserve">Dr Radha M Pujari (duty reported as O.O No 2014-15/1748 dtd 06.08.2015) for 6 months from 06.08.2015 to 05.02.2016  </t>
  </si>
  <si>
    <t>14.08.2015</t>
  </si>
  <si>
    <t>Mr G V Ramesh</t>
  </si>
  <si>
    <t>17.08.2015</t>
  </si>
  <si>
    <t>19.08.2015</t>
  </si>
  <si>
    <t>21.08.2015</t>
  </si>
  <si>
    <t>04.09.2015</t>
  </si>
  <si>
    <t>Dr Sushma  (duty reported as O.O No 2015-16/1458 dtd 24.07.2015) for 6 months from 01.08.2015 to 31.01.2016) joinig from 01.08.2015</t>
  </si>
  <si>
    <t>Asst. Librrian -1 (Stipend Pay)</t>
  </si>
  <si>
    <t>Sri shail shankar sheety</t>
  </si>
  <si>
    <t>30.08.2015</t>
  </si>
  <si>
    <t>Veena Ref</t>
  </si>
  <si>
    <t>28.08.2015</t>
  </si>
  <si>
    <t>Mr.M.Narasimha  (Micro)</t>
  </si>
  <si>
    <t>Dr.Abdul Huq Nadeem (Reappointed  as per order ref.no.RIMS/EST(1)/2015-16/ Dtd.03.08.2015, from 13.07.2015 to 12.01.2016,</t>
  </si>
  <si>
    <t xml:space="preserve">Prathibha  (appointed as per Order Ref.No.RIMS/Adm/15-16/1433 Dtd.31.07.2015   joining from 03.08.2015, (from 31.07.2015 to 31.01.2016 </t>
  </si>
  <si>
    <t>harini</t>
  </si>
  <si>
    <t>26.08.2015</t>
  </si>
  <si>
    <t xml:space="preserve">Dr.Basavaraj M </t>
  </si>
  <si>
    <t xml:space="preserve">Dr Revathi </t>
  </si>
  <si>
    <t xml:space="preserve">Dr Abdul Azeem </t>
  </si>
  <si>
    <t xml:space="preserve">Dr Vijay Kumar Sukhani </t>
  </si>
  <si>
    <t>Dr Vandana R</t>
  </si>
  <si>
    <t xml:space="preserve">Dr Asha J </t>
  </si>
  <si>
    <t xml:space="preserve">Dr.Rajashekar  </t>
  </si>
  <si>
    <t xml:space="preserve">Dr Roopa C R (duty reported as O.O No 2015-16/1425 dtd 03.08.2015) for 6 months from 06.08.2015 to 05.02.2016) joinig from 06.08.2015, </t>
  </si>
  <si>
    <t>Rehamathbee  (appointed as per Order Ref.No.RIMS/EST(2)/15-16/1376 Dtd.24.07.2015 joining from 24.07.2015 (from 24.07.2015 to 23.01.2016)</t>
  </si>
  <si>
    <t xml:space="preserve">Prema (appointed as per Order Ref.No.RIMS/EST(2)/15-16 Dtd.28.07.2015 joining from 28.07.2015 (from 28.07.2015 to 27.01.2016) </t>
  </si>
  <si>
    <t xml:space="preserve">Mallikarjun Kariyappa (appointed as per Order Ref.No.RIMS/EST(2)/15-16 Dtd.28.07.2015 joining from 28.07.2015 (from 28.07.2015 to 27.01.2016) </t>
  </si>
  <si>
    <t xml:space="preserve">Mallikarjun Mahadevappa (appointed as per Order Ref.No.RIMS/EST(2)/15-16/1422 Dtd.29.07.2015 joining from 30.07.2015 (from 29.07.2015 to 28.01.2016)  </t>
  </si>
  <si>
    <t xml:space="preserve">Veeresh Amrayya (appointed as per Order Ref.No.RIMS/EST(2)/15-16/1422 Dtd.29.07.2015 joining from 30.07.2015 (from 29.07.2015 to 28.01.2016)  </t>
  </si>
  <si>
    <t>Soniya P (appointed as per Order Ref.No.RIMS/EST(2)/15-16/1393 Dtd.27.07.2015 joining from 28.07.2015 (from 27.07.2015 to 26.01.2016)</t>
  </si>
  <si>
    <t xml:space="preserve">Sunitha M/o Sumitra (appointed as per Order Ref.No.RIMS/Adm/15-16/ Dtd.29.07.2015   joining from 29.07.2015, (from 29.07.2015 to 28.01.2016, </t>
  </si>
  <si>
    <t xml:space="preserve">Sujatha D/o Balappa  (appointed as per Order Ref.No.RIMS/Adm/15-16/ Dtd.29.07.2015   joining from 29.07.2015, (from 29.07.2015 to 28.01.2016,  </t>
  </si>
  <si>
    <t xml:space="preserve">Mallikarjuna S/o Kadeeppa  (appointed as per Order Ref.No.RIMS/Adm/15-16/ Dtd.29.07.2015   joining from 29.07.2015, (from 29.07.2015 to 28.01.2016, </t>
  </si>
  <si>
    <t xml:space="preserve">Ambresh  (appointed as per Order Ref.No.RIMS/Adm/15-16/ Dtd.29.07.2015   joining from 30.07.2015, (from 29.07.2015 to 28.01.2016, </t>
  </si>
  <si>
    <t xml:space="preserve">Rangayya  (appointed as per Order Ref.No.RIMS/Adm/15-16/ Dtd.29.07.2015   joining from 30.07.2015, (from 29.07.2015 to 28.01.2016, </t>
  </si>
  <si>
    <t xml:space="preserve">Mr C Govinda S/o Late C Mukappa (Reappointed on Temporary Basis as per Order Ref.No.RIMS/EST(2)/2015-16/1763 Dtd.12.08.2015 for 6 months From 13.08.2015 to 11.02.2016) </t>
  </si>
  <si>
    <t xml:space="preserve">Mr.Sunil Kumar Nayak (Office) </t>
  </si>
  <si>
    <t>Dr Mallikarjuna K Patil (Ansth)</t>
  </si>
  <si>
    <t>07.09.2015</t>
  </si>
  <si>
    <t>06.10.2015</t>
  </si>
  <si>
    <t xml:space="preserve">Mrs.Hemalatha (Reappointed as per order Ref.No.RIMS/EST(2)/2015-16/1930 Dtd.10.09.2015) For 6 months Joined on from 10.09.2015 to 09.03.2015) </t>
  </si>
  <si>
    <t>31.08.2015</t>
  </si>
  <si>
    <t>30.10.2015</t>
  </si>
  <si>
    <t>Mr. Shabbir Pasha (appointed as per Order Ref.No.RIMS/Adm/15-16/1932 Dtd.10.09.2015 Teporary on Consolidated from 05.09.2015 to 04.03.2016)</t>
  </si>
  <si>
    <t>Dr Jayalaxmi</t>
  </si>
  <si>
    <t>01.09.2015</t>
  </si>
  <si>
    <t>30.09.2015</t>
  </si>
  <si>
    <t>26.09.2015</t>
  </si>
  <si>
    <t>Neel Ganga`</t>
  </si>
  <si>
    <t>13.09.2015</t>
  </si>
  <si>
    <t>14.09.2015</t>
  </si>
  <si>
    <t>16.09.2015</t>
  </si>
  <si>
    <t>Reshma P</t>
  </si>
  <si>
    <t>15.10.2015</t>
  </si>
  <si>
    <t xml:space="preserve">Hanumatha S/o Durugappa (Appointed as per Order Ref.No.RIMS/Adm/15-16/1857 Dtd.28.08.2015 Teporary on Consolidated from 20.08.2015 to 19.02.2016)  </t>
  </si>
  <si>
    <t xml:space="preserve">Mallanna S/o Shivamanya (Appointed as per Order Ref.No.RIMS/Adm/15-16/1856 Dtd.28.08.2015 Teporary on Consolidated from 20.08.2015 to 19.02.2016)  </t>
  </si>
  <si>
    <t xml:space="preserve">Ravi S/o Siddligappa(Appointed as per Order Ref.No.RIMS/Adm/15-16/1855 Dtd.28.08.2015 Teporary on Consolidated from 20.08.2015 to 19.02.2016)  </t>
  </si>
  <si>
    <t xml:space="preserve">Eshamma S D/o Shrimanth (appointed as per Order Ref.No.RIMS/Adm/15-16/1884 Dtd.31.08.2015   joining from 31.08.2015, (from 31.08.2015 to 29.02.2016, </t>
  </si>
  <si>
    <t xml:space="preserve">Huchamma Parapa (appointed as per Order Ref.No.RIMS/Adm/15-16/1883 Dtd.27.08.2015   joining from 27.08.2015, (from 27.08.2015 to 26.02.2016, </t>
  </si>
  <si>
    <t>18.09.2015</t>
  </si>
  <si>
    <t>23.09.2015</t>
  </si>
  <si>
    <t>17.09.2015</t>
  </si>
  <si>
    <t>22.09.2015</t>
  </si>
  <si>
    <t>Pratima KS (Staff nirse)</t>
  </si>
  <si>
    <t>19.09.2015</t>
  </si>
  <si>
    <t>25.09.2015</t>
  </si>
  <si>
    <t>Rekhya VM</t>
  </si>
  <si>
    <t>Mr.Md.Tahsin (Ab)</t>
  </si>
  <si>
    <t>01.10.2015</t>
  </si>
  <si>
    <t>28.09.2015</t>
  </si>
  <si>
    <t>02.10.2015</t>
  </si>
  <si>
    <t>Dr Rajjan</t>
  </si>
  <si>
    <t xml:space="preserve">Dr Sri Vidya (duty reported as O.O No 2015-16/1898 dtd 27.08.2015) for 6 months from 04.09.2015 to 03.03.2016) joinig from 05.09.2015, </t>
  </si>
  <si>
    <t xml:space="preserve">Dr Ramesh </t>
  </si>
  <si>
    <t xml:space="preserve">Dr Vijay Krishna </t>
  </si>
  <si>
    <t xml:space="preserve">Dr.Nagaraj S Javali </t>
  </si>
  <si>
    <t xml:space="preserve">Dr.Girish V Achalkar </t>
  </si>
  <si>
    <t xml:space="preserve">Dr.Harish Murthy (TBP) </t>
  </si>
  <si>
    <t xml:space="preserve">Dr.Inder Raj Itagi </t>
  </si>
  <si>
    <t xml:space="preserve">Dr.Tirumala Rao </t>
  </si>
  <si>
    <t xml:space="preserve">Dr.Namitha(T.B.P) </t>
  </si>
  <si>
    <t xml:space="preserve">Dr.Ravi Kumar (T.B.P)  </t>
  </si>
  <si>
    <t xml:space="preserve">Dr Arun M  </t>
  </si>
  <si>
    <t xml:space="preserve">Dr Sunilkumar Kainoor </t>
  </si>
  <si>
    <t xml:space="preserve">Dr Rashmi Nagangoudaru </t>
  </si>
  <si>
    <t xml:space="preserve">Dr Purnima Poste </t>
  </si>
  <si>
    <t xml:space="preserve">Dr.Kanakachalapathi </t>
  </si>
  <si>
    <t xml:space="preserve">Dr.Prathibha Hullur </t>
  </si>
  <si>
    <t xml:space="preserve">Dr.Gururaj Kulkarni </t>
  </si>
  <si>
    <t xml:space="preserve">Anitha Gangappa (appointed as per Order Ref.No.RIMS/EST(2)/15-16/1393 Dtd.27.07.2015 joining from 28.07.2015 (from 27.07.2015 to 26.01.2016)  </t>
  </si>
  <si>
    <t>DA (32.5%)</t>
  </si>
  <si>
    <t>Dr Seema Thotda (Duty Reported  as order ref no 2015-16/2072 dated 30.09.2015 )for 06 Months, from 09.09.2015 to 08.03.2016</t>
  </si>
  <si>
    <t>Dr Kartik (duty reported as O.O No 2015-16/2071  dated 30.09.2015 from 01.09.2015 to 29.02.2015 for 6 months</t>
  </si>
  <si>
    <t xml:space="preserve">Ms.Radha K </t>
  </si>
  <si>
    <t xml:space="preserve">N Vinaykumar (appointed as per Order Ref.No.RIMS/Adm/15-16/1312 Dtd.20.07.2015  joining from 20.07.2015 (from 20.07.2015 to 19.01.2016) </t>
  </si>
  <si>
    <t xml:space="preserve">Shravana Kumar Hiremath (appointed as per Order Ref.No.RIMS/Adm/15-16/1312 Dtd.20.07.2015  joining from 20.07.2015 (from 20.07.2015 to 19.01.2016) </t>
  </si>
  <si>
    <t xml:space="preserve">Reshma D/o Lalsab (appointed as per Order Ref.No.RIMS/Adm/15-16/1312 Dtd.20.07.2015  joining from 20.07.2015 (from 20.07.2015 to 19.01.2016) </t>
  </si>
  <si>
    <t xml:space="preserve">Arogya Mary  (appointed as per Order Ref.No.RIMS/Adm/15-16/1346 Dtd.23.07.2015  joining from 23.07.2015, (from 23.07.2015 to 22.01.2016) </t>
  </si>
  <si>
    <t>Mohd Fayazuddin</t>
  </si>
  <si>
    <t>09.10.2015</t>
  </si>
  <si>
    <t>DA (119%)</t>
  </si>
  <si>
    <t>DA         (119%)</t>
  </si>
  <si>
    <t>20.10.2015</t>
  </si>
  <si>
    <t>DR Shashikala P</t>
  </si>
  <si>
    <t>10.10.2015</t>
  </si>
  <si>
    <t>15.11.2015</t>
  </si>
  <si>
    <t>13.10.2015</t>
  </si>
  <si>
    <t>17.10.2015</t>
  </si>
  <si>
    <t>12.10.2015</t>
  </si>
  <si>
    <t>05.11.2015</t>
  </si>
  <si>
    <t>Dr Basangouda Patil (Ped)</t>
  </si>
  <si>
    <t>03.10.2015</t>
  </si>
  <si>
    <t>08.10.2015</t>
  </si>
  <si>
    <t>08.12.2015</t>
  </si>
  <si>
    <t xml:space="preserve">Bhgyavati D/o Mallappa  (appointed as per Order Ref.No.RIMS/Adm/15-16/2090 Dtd.03.10.2015   joining from 13.10.2015, (from 13.10.2015 to 12.04.2016, </t>
  </si>
  <si>
    <t xml:space="preserve">Praveen Kumar S/o Shivaraj (appointed as per Order Ref.No.RIMS/Adm/15-16/2093 Dtd.03.10.2015   joining from 09.10.2015, (from 09.10.2015 to 08.04.2016, </t>
  </si>
  <si>
    <t xml:space="preserve">Shameem D/o Md Anif (appointed as per Order Ref.No.RIMS/Adm/15-16/2096 Dtd.03.10.2015   joining from 07.10.2015, (from 07.10.2015 to 06.04.2016, </t>
  </si>
  <si>
    <t xml:space="preserve">Matsya Gandhi D/o Subramani (appointed as per Order Ref.No.RIMS/Adm/15-16/2086 Dtd.03.10.2015   joining from 07.10.2015, (from 07.10.2015 to 06.04.2016, </t>
  </si>
  <si>
    <t xml:space="preserve">Mallayya S/o Vamayya (appointed as per Order Ref.No.RIMS/Adm/15-16/2091 Dtd.03.10.2015   joining from 13.10.2015, (from 13.10.2015 to 12.04.2016, </t>
  </si>
  <si>
    <t xml:space="preserve">Stipend Pay-Laboratory Tech - 03 </t>
  </si>
  <si>
    <t xml:space="preserve">Shivsharan S/o Basavaraj (appointed as per Order Ref.No.RIMS/Adm/15-16/2126 Dtd.07.10.2015 Joining from 09.10.2015 (09.10.2015 to 08.04.2016) </t>
  </si>
  <si>
    <t xml:space="preserve">Vikas S/o Balabheema (appointed as per Order Ref.No.RIMS/Adm/15-16/2127 Dtd.07.10.2015 Joining from 09.10.2015 (09.10.2015 to 08.04.2016) </t>
  </si>
  <si>
    <t xml:space="preserve">Venkateshwaralu NP S/o Panchhu pille (appointed as per Order Ref.No.RIMS/Adm/15-16/2125 Dtd.07.10.2015 Joining from 09.10.2015 (09.10.2015 to 08.04.2016) </t>
  </si>
  <si>
    <t xml:space="preserve">Bhagyashree D/o Narasappa appointed as per Order Ref.No.RIMS/Adm/15-16/2095 Dtd.03.10.2015   joining from 13.10.2015, (from 13.10.2015 to 12.04.2016, </t>
  </si>
  <si>
    <t>Harsha</t>
  </si>
  <si>
    <t>18.10.2015</t>
  </si>
  <si>
    <t>Sharnappa Illal</t>
  </si>
  <si>
    <t>14.10.2015</t>
  </si>
  <si>
    <t xml:space="preserve">ShanthKumar (reappointed as per order Ref.No.RIMS/EST(2)/2015-16/ Dtd.15.10.2015) For 6 months Joined on from 02.10.2015 to 01.04.2016) </t>
  </si>
  <si>
    <t xml:space="preserve">Prashant Kumar  (reappointed as per order Ref.No.RIMS/EST(2)/2015-16/ Dtd.15.10.2015) For 6 months Joined on from 02.10.2015 to 01.04.2016) </t>
  </si>
  <si>
    <t xml:space="preserve">Mr.Shankar  (Duty Reapponinted a as order ref no 2015-16. dated 15.10.2015 from 06.10.2015 to 05.04.2016) </t>
  </si>
  <si>
    <t>Dr Nasim Banu</t>
  </si>
  <si>
    <t>26.10.2015</t>
  </si>
  <si>
    <t>14.11.2015</t>
  </si>
  <si>
    <t>Dr Girish</t>
  </si>
  <si>
    <t>28.10.2015</t>
  </si>
  <si>
    <t>07.11.2015</t>
  </si>
  <si>
    <t>31.10.2015</t>
  </si>
  <si>
    <t>Sharanappa Hadagali</t>
  </si>
  <si>
    <t>Mr.S.Thimma Reddy (Pharmacology)</t>
  </si>
  <si>
    <t xml:space="preserve">Mr.Shanthabai (Hospital) </t>
  </si>
  <si>
    <t>Abdul Shukur S/o Abdul Suban (appointed as per Order Ref.No.RIMS/Adm/15-16/2089 Dtd.03.10.2015   joining from 09.10.2015, (from 09.10.2015 to 08.04.2016, joined 24.10.2015</t>
  </si>
  <si>
    <t xml:space="preserve">Dr.Sadanand Pujari  (T.B.P)  </t>
  </si>
  <si>
    <t>(Amount in words Rupees: Five Lakhs Eleven Thousand &amp; Sixty Seven Only)</t>
  </si>
  <si>
    <t>Mr.Mohd. Umar  (Re Appointed on Temporary as per order  No.RIMS/EST(2)/2015-16/2246 Dtd.31.10.2015 (From 30.10.2015 to 29.04.2016)  for 6 Months</t>
  </si>
  <si>
    <t>Mr.Munna Pasha (Re Appointed on Temporary as per order  No.RIMS/EST(2)/2015-16/2245 Dtd.31.10.2015 (From 28.10.2015 to 27.04.2016)  for 6 Months</t>
  </si>
  <si>
    <t xml:space="preserve">Dr Bhaskara K </t>
  </si>
  <si>
    <t xml:space="preserve">Dr Venkatesh U </t>
  </si>
  <si>
    <t xml:space="preserve">Dr.Siddesh Kumar  H </t>
  </si>
  <si>
    <t xml:space="preserve">Dr.V M Pujari </t>
  </si>
  <si>
    <t xml:space="preserve">Dr.B Ramesh Babu </t>
  </si>
  <si>
    <t xml:space="preserve">Dr.Venkatesh Naik </t>
  </si>
  <si>
    <t xml:space="preserve">Mr.Premsagar Waghmare </t>
  </si>
  <si>
    <t xml:space="preserve">Dr.Shivappa Hatnoor  </t>
  </si>
  <si>
    <t>Dr.Anil Gumaste (TBP)</t>
  </si>
  <si>
    <t>Dr.Nasima Banu (TBP)</t>
  </si>
  <si>
    <t xml:space="preserve">Dr.Shashidhar Patil (TBP) </t>
  </si>
  <si>
    <t xml:space="preserve">Dr.Ishrathunisa </t>
  </si>
  <si>
    <t xml:space="preserve">Dr.Shivakumar Patil </t>
  </si>
  <si>
    <t xml:space="preserve">Dr.Rajashekar Patil </t>
  </si>
  <si>
    <t xml:space="preserve">Dr.SB Badrannavar </t>
  </si>
  <si>
    <t xml:space="preserve">Dr.Vasudev Jagirdar </t>
  </si>
  <si>
    <t xml:space="preserve">Yesudas S/o Jayasheelan  </t>
  </si>
  <si>
    <t xml:space="preserve">Jesintha D/o Deshappa  </t>
  </si>
  <si>
    <t xml:space="preserve">H. Subbarathanamma D/o Venugopal H </t>
  </si>
  <si>
    <t xml:space="preserve">Fareeda Begum (appointed as per Order Ref.No.RIMS/Adm/15-16/1312 Dtd.20.07.2015  joining from 20.07.2015 (from 20.07.2015 to 19.01.2016) </t>
  </si>
  <si>
    <t xml:space="preserve">Shivasharan (appointed as per Order Ref.No.RIMS/Adm/15-16/1312 Dtd.20.07.2015  joining from 20.07.2015 (from 20.07.2015 to 19.01.2016) </t>
  </si>
  <si>
    <t xml:space="preserve">Arshiya Sultan (appointed as per Order Ref.No.RIMS/Adm/15-16/1346 Dtd.23.07.2015  joining from 23.07.2015, (from 23.07.2015 to 22.01.2016) </t>
  </si>
  <si>
    <t xml:space="preserve">Mercyrani (appointed as per Order Ref.No.RIMS/EST(2)/15-16 Dtd.28.07.2015 joining from 28.07.2015 (from 28.07.2015 to 27.01.2016)  </t>
  </si>
  <si>
    <t xml:space="preserve">Mamata D/o Mugalappa  (appointed as per Order Ref.No.RIMS/Adm/15-16/1421 Dtd.30.07.2015   joining from 30.07.2015, (from 30.07.2015 to 29.01.2016) </t>
  </si>
  <si>
    <t xml:space="preserve">Adilaxmi  (appointed as per Order Ref.No.RIMS/Adm/15-16/ Dtd.29.07.2015   joining from 29.07.2015, (from 29.07.2015 to 28.01.2016, </t>
  </si>
  <si>
    <t xml:space="preserve">Marilingappa (appointed as per Order Ref.No.RIMS/Adm/15-16/1884 Dtd.31.08.2015   joining from 31.08.2015, (from 31.08.2015 to 29.02.2016, </t>
  </si>
  <si>
    <t xml:space="preserve">Shashikala D/o Nagappa (appointed as per Order Ref.No.RIMS/Adm/15-16/1884 Dtd.31.08.2015   joining from 31.08.2015, (from 31.08.2015 to 29.02.2016, </t>
  </si>
  <si>
    <t>Mr.Basayya Swamy (Hospital)</t>
  </si>
  <si>
    <t xml:space="preserve">Smt.Asha Bee (Girls Hostel) (Reappointed on Temporary Basis &amp; Order Extension  order Ref. No. RIMS/ Adm /1747/2015-16 Dtd.05.08.2015 (For 6 Months)From 07.08.2015 to 06.02.2015, </t>
  </si>
  <si>
    <t>Dr.G G Nandurkar (fixed salary as per this O.O letter dtd 31.10.2015)</t>
  </si>
  <si>
    <t>Vacanat-38</t>
  </si>
  <si>
    <t xml:space="preserve">Dr Jambana Gouda </t>
  </si>
  <si>
    <t>Dr Shankar Gouda Ireddy</t>
  </si>
  <si>
    <t>29.10.2015</t>
  </si>
  <si>
    <t>27.11.2015</t>
  </si>
  <si>
    <t>16.11.2015</t>
  </si>
  <si>
    <t>05.12.2015</t>
  </si>
  <si>
    <t>Hanumappa M</t>
  </si>
  <si>
    <t>19.11.2015</t>
  </si>
  <si>
    <t>09.11.2015</t>
  </si>
  <si>
    <t>13.11.2015</t>
  </si>
  <si>
    <t xml:space="preserve">Mr Syed Javeed Ahmed (Reappointed as per Order Ref.No.RIMS/Adm/15-16/240 Dtd.16.11.2015 Teporary on Consolidated from 10.11.2015 to 09.05.2016) </t>
  </si>
  <si>
    <t xml:space="preserve">Dr. Rohit Pateria (reappointed as O.O No 2015-16/2415 dtd 16.11.2015) for 6 months from 25.10.2015 to 24.04.2016  </t>
  </si>
  <si>
    <t>10.11.2015</t>
  </si>
  <si>
    <t>21.11.2015</t>
  </si>
  <si>
    <t>Dr Nagraj Jawali</t>
  </si>
  <si>
    <t>31.12.2015</t>
  </si>
  <si>
    <t>Mr. Hanumantha  (reappointed as per Order Ref.No.RIMS/Adm/15-16/2238 Dtd.28.10.2015 Teporary on Consolidated from 26.10.2015 to 25.04.2016)</t>
  </si>
  <si>
    <t xml:space="preserve">Mr. Narayan (reppointed as per Order Ref.No.RIMS/Adm/15-16/2235 Dtd.28.10.2015 Teporary on Consolidated from 27.10.2015 to 26.04.2016) </t>
  </si>
  <si>
    <t xml:space="preserve">Mr. Bahghyalaxmi  (reppointed as per Order Ref.No.RIMS/Adm/15-16/2236 Dtd.28.10.2015 Teporary on Consolidated from 30.10.2015 to 29.04.2016) </t>
  </si>
  <si>
    <t xml:space="preserve">Mrs.Jyothi   (Reappointed as per vide Order Ref.No.RIMS/EST(2)/15-16/2501 Dtd.24.11.2015 for 6 Months, from 09.11.2015 to 08.05.2016)  </t>
  </si>
  <si>
    <t xml:space="preserve">Miss.Rangamma  (Reappointed as per vide Order Ref.No.RIMS/EST(2)/15-16/2499 Dtd.24.11.2015 for 6 Months, from 10.11.2015 to 09.05.2016)  </t>
  </si>
  <si>
    <t xml:space="preserve">Miss.Gouramma  (Reappointed as per vide Order Ref.No.RIMS/EST(2)/15-16/2503 Dtd.24.11.2015 for 6 Months, from 12.11.2015 to 11.05.2016)  </t>
  </si>
  <si>
    <t xml:space="preserve">Miss.Lingamma (Reappointed as per vide Order Ref.No.RIMS/EST(2)/15-16/2502 Dtd.24.11.2015 for 6 Months, from 11.11.2015 to 10.05.2016)  </t>
  </si>
  <si>
    <t xml:space="preserve">Miss.Saroja  (Reappointed as per vide Order Ref.No.RIMS/EST(2)/15-16/2500 Dtd.24.11.2015 for 6 Months, from 12.11.2015 to 11.05.2016)  </t>
  </si>
  <si>
    <t xml:space="preserve">Miss.Sridevi (Reappointed as per vide Order Ref.No.RIMS/EST(2)/15-16/2496 Dtd.24.11.2015 for 6 Months, from 07.11.2015 to 06.05.2016)     </t>
  </si>
  <si>
    <t xml:space="preserve">Smt.Padmavathi  (Reappointed as per vide Order Ref.No.RIMS/EST(2)/15-16/2497 Dtd.24.11.2015 for 6 Months, from 07.11.2015 to 06.05.2016)     </t>
  </si>
  <si>
    <t xml:space="preserve">Smt.Thimalamma (Reappointed as per vide Order Ref.No.RIMS/EST(2)/15-16/2504 Dtd.24.11.2015 for 6 Months, from 09.11.2015 to 08.05.2016)     </t>
  </si>
  <si>
    <t xml:space="preserve">Mrs.Gayatri H (Reappointed on Temporary Basis as per Order Ref.No.RIMS/EST(2)/2015-16/2494 Dtd.24.11.2015 for 6 months From 23.11.2015 to 22.05.2016) </t>
  </si>
  <si>
    <t xml:space="preserve">Mr.Rajesh  (Re Appointed on Temporary as per Order Ref.No.RIMS/EST(2)/2015-16/2492 Dtd.24.11.2015)  (From 17.11.2015 to 16.05.2016) </t>
  </si>
  <si>
    <t xml:space="preserve">Mr.Shivakumar  (Re Appointed on Temporary as per Order Ref.No. RIMS /EST(2)/2015-16/2491 Dtd.24.11.2015)  (From 17.11.2015 to 16.05.2016) </t>
  </si>
  <si>
    <t xml:space="preserve">Miss.D Surekha   (Reappointed as per vide Order Ref.No.RIMS/EST(2)/15-16/2495 Dtd.24.11.2015 for 6 Months, from 12.11.2015 to 11.05.2016)  </t>
  </si>
  <si>
    <t>Vijaylaxmi Lab the</t>
  </si>
  <si>
    <t xml:space="preserve"> Dr Rashmi </t>
  </si>
  <si>
    <t>Hanumthappa (Xray)</t>
  </si>
  <si>
    <t>9.11.2015</t>
  </si>
  <si>
    <t>23.11.2015</t>
  </si>
  <si>
    <t>Ms.Sujatha (reported as per Order Ref.No.RIMS/Adm/15-16/2543 Dtd.26.11.2015 Teporary on Consolidated from 03.11.2015 to 02.05.2016)</t>
  </si>
  <si>
    <t xml:space="preserve">Mr. Prabhavati (appointed as per Order Ref.No.RIMS/Adm/15-16/2542 Dtd.26.11.2015 Teporary on Consolidated from 28.11.2015 to 27.05.2016) </t>
  </si>
  <si>
    <t xml:space="preserve">Dr.Veena G (Reappointed continuaction order as per Order Ref.No.RIMS/EST(1)/2015-16/2060 Dtd.19.09.2015 for 11 Months, from 21.09.2015 to 20.03.2016) </t>
  </si>
  <si>
    <t xml:space="preserve">Dr. Trupthi Ruge, (duty reported as O.O No 2015-16/1868 dtd 27.08.2015) for 6 months from 01.09.2015 to 01.02.2016) joinig from 01.09.2015, </t>
  </si>
  <si>
    <t>Dr Padasheetry</t>
  </si>
  <si>
    <t>20.11.2015</t>
  </si>
  <si>
    <t>9.12.2015</t>
  </si>
  <si>
    <t>Dr harish Murthy</t>
  </si>
  <si>
    <t>6.11.2015</t>
  </si>
  <si>
    <t>5.12.2015</t>
  </si>
  <si>
    <t xml:space="preserve">Dr Vijay laxmi </t>
  </si>
  <si>
    <t>19.12.2015</t>
  </si>
  <si>
    <t>Sunada  (appointed as per Order Ref.No.RIMS/Adm/15-16/1346 Dtd.23.07.2015  joining from 25.07.2015, (from 23.07.2015 to 22.01.2016) LWp</t>
  </si>
  <si>
    <t xml:space="preserve">Mr Sunand Kumar (appointed as per Order Ref.No.RIMS/Adm/15-16/1967 Dtd.03.11.2015   joining from 09.11.2015, (from 07.11.2015 to 06.05.2016, </t>
  </si>
  <si>
    <t xml:space="preserve">Laxmi D/o Shivamma  (appointed as per Order Ref.No.RIMS/Adm/15-16/1967 Dtd.17.11.2015   joining from 19.11.2015, (from 18.11.2015 to 17.05.2016, </t>
  </si>
  <si>
    <t>Dr Balpraveen Choudri</t>
  </si>
  <si>
    <t>01.11.2015</t>
  </si>
  <si>
    <t>SALARY ABSTRACT FOR THE MONTH OF DECEMBER-2015</t>
  </si>
  <si>
    <t>Teaching Staff Salary For The Month of DECEMBER -2015</t>
  </si>
  <si>
    <t>Transffered &amp; Absorbed Teaching Staff Salary For The Month of  DECEMBER--2015</t>
  </si>
  <si>
    <t>Teaching &amp; Non Teaching Staff Salary For The Month of  DECEMBER-2015</t>
  </si>
  <si>
    <t>Nutrition RC Staff Salary Statement for the Month of DECEMBER -2015</t>
  </si>
  <si>
    <t>Dr.Anil Kumar D N</t>
  </si>
  <si>
    <t xml:space="preserve">Dr Nandini M Hadalagi </t>
  </si>
  <si>
    <t>Dr.Balapraveena .C</t>
  </si>
  <si>
    <t xml:space="preserve">Dr.Mallikarjun K Patil </t>
  </si>
  <si>
    <t xml:space="preserve">Dr.Karishma Manoli </t>
  </si>
  <si>
    <t xml:space="preserve">Dr.Wasim Miya </t>
  </si>
  <si>
    <t xml:space="preserve">Dr Parinita Nayaka </t>
  </si>
  <si>
    <t xml:space="preserve">Dr.Ambika H K  </t>
  </si>
  <si>
    <t xml:space="preserve">Mr.Nagabhushan Reddy B  S/o B.Hanumanth Reddy </t>
  </si>
  <si>
    <t xml:space="preserve">Dewan Ganesh Singh S/o Diwan Ajit Singh </t>
  </si>
  <si>
    <t xml:space="preserve">Anuradha S/o Basavantharaya (post BSC training) </t>
  </si>
  <si>
    <t xml:space="preserve">Hemavathi D/o Pundalikappa </t>
  </si>
  <si>
    <t xml:space="preserve">Jyothi Mallappa (appointed as per Order Ref.No.RIMS/EST(2)/15-16 Dtd.28.07.2015 joining from 29.07.2015 (from 28.07.2015 to 27.01.2016) </t>
  </si>
  <si>
    <t xml:space="preserve">Deena Kumari (appointed as per Order Ref.No.RIMS/EST(2)/15-16/1393 Dtd.27.07.2015 joining from 28.07.2015 (from 27.07.2015 to 26.01.2016) </t>
  </si>
  <si>
    <t xml:space="preserve">Chandrasekhar S/o Shankarppa (appointed as per Order Ref.No.RIMS/EST(2)/15-16/1393 Dtd.27.07.2015 joining from 27.07.2015 (from 27.07.2015 to 26.01.2016) </t>
  </si>
  <si>
    <t xml:space="preserve">Drakshayani (appointed as per Order Ref.No.RIMS/EST(2)/15-16/1431 Dtd.31.07.2015 joining from 31.07.2015 (from 31.07.2015 to 30.01.2016) </t>
  </si>
  <si>
    <t xml:space="preserve">Kasturi  (appointed as per Order Ref.No.RIMS/Adm/15-16/1421 Dtd.30.07.2015   joining from 31.07.2015, (from 30.07.2015 to 29.01.2016, </t>
  </si>
  <si>
    <t xml:space="preserve">Shivaraj Ningappa  (appointed as per Order Ref.No.RIMS/Adm/15-16/1421 Dtd.30.07.2015   joining from 30.07.2015, (from 30.07.2015 to 29.01.2016, </t>
  </si>
  <si>
    <t>Manavva D/o Hanamantraya   (appointed as per Order Ref.No.RIMS/Adm/15-16/ Dtd.29.07.2015   joining from 29.07.2015, (from 29.07.2015 to 28.01.2016,</t>
  </si>
  <si>
    <t xml:space="preserve">Basavalingamma  (appointed as per Order Ref.No.RIMS/Adm/15-16/ Dtd.29.07.2015   joining from 29.07.2015, (from 29.07.2015 to 28.01.2016, </t>
  </si>
  <si>
    <t>Bhagyashree D/o Siddappa (appointed as per Order Ref.No.RIMS/Adm/15-16/ Dtd.29.07.2015   joining from 29.07.2015, (from 29.07.2015 to 28.01.2016,</t>
  </si>
  <si>
    <t xml:space="preserve">Yasmeen D/o Rafiuddin  (appointed as per Order Ref.No.RIMS/Adm/15-16/ Dtd.29.07.2015   joining from 29.07.2015, (from 29.07.2015 to 28.01.2016,  </t>
  </si>
  <si>
    <t xml:space="preserve">Abdul Javeed  (appointed as per Order Ref.No.RIMS/Adm/15-16/1884 Dtd.31.08.2015   joining from 31.08.2015, (from 31.08.2015 to 29.02.2016, </t>
  </si>
  <si>
    <t>Kamal (appointed as per Order Ref.No.RIMS/Adm/15-16/1884 Dtd.31.08.2015   joining from 31.08.2015, (from 31.08.2015 to 29.02.2016,</t>
  </si>
  <si>
    <t xml:space="preserve">Shakuthala D/o Thippanna (appointed as per Order Ref.No.RIMS/Adm/15-16/1882 Dtd.29.08.2015   joining from 29.08.2015, (from 29.08.2015 to 28.02.2016, </t>
  </si>
  <si>
    <t xml:space="preserve">Parvathi D/o (appointed as per Order Ref.No.RIMS/Adm/15-16/2219 Dtd.19.10.2015   joining from 30.10.2015, (from 30.10.2015 to 29.04.2016, </t>
  </si>
  <si>
    <t>Mr.Lingaraj (Library)</t>
  </si>
  <si>
    <t xml:space="preserve">Mr.Venkatapathi </t>
  </si>
  <si>
    <t xml:space="preserve">Mr.Bhimayya (Pharmacology)  </t>
  </si>
  <si>
    <t>Vijaykumar B.T S/o B. Thippaiah (Festival Advance 2nd Installment)</t>
  </si>
  <si>
    <t>Savitha H.B D/o Ramanna H B   (Festival Advance 2nd Installment)</t>
  </si>
  <si>
    <t>Nagaraj M Akki S/o Marabasappa Akki  (Festival Advance 2nd Installment)</t>
  </si>
  <si>
    <t>Mrs.Geetha Kulkarni (Microbiology)  (Festival Advance 2nd Installment)</t>
  </si>
  <si>
    <t>Basavaraj M Sabarad S/o Manohar S   (Festival Advance 2nd Installment)</t>
  </si>
  <si>
    <t>Rajashri D/o Bheemanna Pannur    (Festival Advance 2nd Installment)</t>
  </si>
  <si>
    <t>Dharam Singh S/o Manohar Singh    (Festival Advance 2nd Installment)</t>
  </si>
  <si>
    <t>Parashuram (Festival Advance 2nd Installment)</t>
  </si>
  <si>
    <t>Sangamesh S. S (Festival Advance 2nd Installment)</t>
  </si>
  <si>
    <t>Sharanappa P Sudi (Festival Advance 2nd Installment)</t>
  </si>
  <si>
    <t>Sharanappa Illal S/o Hanappa Illal (Festival Advance 1st installment)</t>
  </si>
  <si>
    <t>Hanumappa Mudevvagol S/o Maruthi (Festival Advance 1st installment)</t>
  </si>
  <si>
    <t>Girish Yalasangi S/o Basavaraj Y (Festival Advance 1st installment)</t>
  </si>
  <si>
    <t>Vadiraj Udupi S/o Ramachandra Udupi    (Festival Advance 1st installment)</t>
  </si>
  <si>
    <t>Harini S D/o Siddegouda K  (Festival Advance 1st installment)</t>
  </si>
  <si>
    <t>T. Nagaraj S/o Shivanna    (Festival Advance 1st installment)</t>
  </si>
  <si>
    <t>Chandrasekhar S/o Sabayya (Central Lab)  (Festival Advance 1st installment)</t>
  </si>
  <si>
    <t xml:space="preserve">Basavaraj M Kumbar S/o Malakappa (Festival Advance 2nd Installment) </t>
  </si>
  <si>
    <t>Muthamma(appointed as per Order Ref.No.RIMS/EST(2)/15-16/1418 Dtd.21.07.2015 joining from 21.07.2015 (from 21.07.2015 to 20.01.2016) october 2015 4 days salary &amp; November 2015 2 days salary adeed in this month total 6 days salary added</t>
  </si>
  <si>
    <t>Dr.Chandrashekar R (TBP) (November 2015 HRA deducted Rs 4331/-)</t>
  </si>
  <si>
    <t xml:space="preserve">Mr.Imteyaz (Re Appointed on Temporary as per Order Ref.No.RIMS/EST(2)/2490/2015-16/ Dtd.24.11.2015)  (From 15.11.2015 to 14.05.2016) 21 days HRA </t>
  </si>
  <si>
    <t>Mr.K. Suban (21 days HRA)</t>
  </si>
  <si>
    <t>Amrutha Mara D/o Kuberappa Mara (21 days HRA)</t>
  </si>
  <si>
    <t xml:space="preserve">Sharanappa Hadagali S/o Shivaputrappa (Tubectomy Spl increment given as per this office letter dtd 08.12.2015) </t>
  </si>
  <si>
    <t xml:space="preserve">Mr.Praveen Kumar (reappointed on Temporary Basis as per Order Ref.No.RIMS/EST(2)/2015-16/2674 Dtd.09.12.2015 for 6 months From 16.12.2015 to 15.06.2016)  </t>
  </si>
  <si>
    <t>Anitha BR</t>
  </si>
  <si>
    <t>07.12.2015</t>
  </si>
  <si>
    <t>Nagbushan Reddy</t>
  </si>
  <si>
    <t>24.11.2015</t>
  </si>
  <si>
    <t>02.12.2015</t>
  </si>
  <si>
    <t>06.12.2015</t>
  </si>
  <si>
    <t>Anil N Chouhan S/o Nandulal C (yearly increment given as per this office letter dtd 26.11.2015)</t>
  </si>
  <si>
    <t xml:space="preserve">Smt.Annapurna (Reappointed as per vide Order Ref.No.RIMS/NRC/15-16/ Dtd.26.11.2015 for 6 Months) (from 14.08.2015 to 13.02.2016) </t>
  </si>
  <si>
    <t>Hemavathi</t>
  </si>
  <si>
    <t>22.11.2015</t>
  </si>
  <si>
    <t>19.05.2016</t>
  </si>
  <si>
    <t>02.11.2015</t>
  </si>
  <si>
    <t>Shobha D/o Anthoniappa  (appointed as per Order Ref.No.RIMS/Adm/15-16/ Dtd.29.07.2015   joining from 29.07.2015, (from 29.07.2015 to 28.01.2016, (quarter vacant)</t>
  </si>
  <si>
    <t xml:space="preserve">Dr Mohd. Irfan Khan  (duty reported as O.O No 2015-16/2548 dtd 26.11.2015) for 11 months from 06.11.2015 to 05.10.2016) </t>
  </si>
  <si>
    <t>Sagmesh S</t>
  </si>
  <si>
    <t>11.12.2015</t>
  </si>
  <si>
    <t>Dr R Rajani (HRA from 25.12.2015)</t>
  </si>
  <si>
    <t>Md.Habeebulla Khan S/o Habeebulla (increment given as per this office letter dtd 17.12.2015)</t>
  </si>
  <si>
    <t>Preeti (appointed as per Order Ref.No.RIMS/EST(2)/15-16 Dtd.28.07.2015 joining from 28.07.2015 (from 28.07.2015 to 27.01.2016) (5 days Oct 2015 salary added)</t>
  </si>
  <si>
    <t>Dr.Raghunandan M  (TBP)(increment given)</t>
  </si>
  <si>
    <t>Dr.N S Naveen (increment given)</t>
  </si>
  <si>
    <t>Dr.Shashidhar Basagoudar   (increment given)</t>
  </si>
  <si>
    <t xml:space="preserve">Dr Narayana Pedlikal  (duty reported as O.O No 2015-16/2748 dtd 19.12.2015) for 11 months from 09.12.2015 to 08.11.2016) </t>
  </si>
  <si>
    <t>Rahul</t>
  </si>
  <si>
    <t>18.12.2015</t>
  </si>
  <si>
    <t>20.12.2015</t>
  </si>
  <si>
    <t>ramesh BH</t>
  </si>
  <si>
    <t>03.12.2015</t>
  </si>
  <si>
    <t>Dr Mahesh Kumar Patho</t>
  </si>
  <si>
    <t>09.12.2015</t>
  </si>
  <si>
    <t>08.01.2016</t>
  </si>
  <si>
    <t>24.12.2015</t>
  </si>
  <si>
    <t>02.01.2016</t>
  </si>
  <si>
    <t>Reshma P yalgnur</t>
  </si>
  <si>
    <t>14.12.2015</t>
  </si>
  <si>
    <t>23.12.2015</t>
  </si>
  <si>
    <t>Dr Sharnabasppa karrddi</t>
  </si>
  <si>
    <t>21.10.2015</t>
  </si>
  <si>
    <t>16.12.2015</t>
  </si>
  <si>
    <t>Sr. Resident /Regular Tutor, AICTE Sacle-60 (scale is change as per this office letter dtd 23.12.2015</t>
  </si>
  <si>
    <t xml:space="preserve">Dr.Basan Gouda J </t>
  </si>
  <si>
    <t>Sharnavva D/o Balaiah L (Tubectomy special increment given as per this office letter dtd 19.12.2015</t>
  </si>
  <si>
    <t>Dr Ramakrishna</t>
  </si>
  <si>
    <t>16.10.2015</t>
  </si>
  <si>
    <t>15.12.2015</t>
  </si>
  <si>
    <t>05.02.2016</t>
  </si>
  <si>
    <t>Dr Kiran KN</t>
  </si>
  <si>
    <t>30.12.2015</t>
  </si>
  <si>
    <t>Dr Rashmi Kumari Patho</t>
  </si>
  <si>
    <t>28.12.2015</t>
  </si>
  <si>
    <t>26.12.2015</t>
  </si>
  <si>
    <t>Dr Shashidhar basangoudar (Comm)</t>
  </si>
  <si>
    <t>Dr G G Nandurkar</t>
  </si>
  <si>
    <t>21.12.2015</t>
  </si>
  <si>
    <t>04.01.2016</t>
  </si>
  <si>
    <t>Dr Shashidahr patil (Ge medicine)</t>
  </si>
  <si>
    <t>17.11.2015</t>
  </si>
  <si>
    <t>Dr Nagaraj V Gadwal</t>
  </si>
  <si>
    <t>Dr Rashmi Nagangouda</t>
  </si>
  <si>
    <t>07.01.2016</t>
  </si>
  <si>
    <t>Dr Rajendra B</t>
  </si>
  <si>
    <t>Dr Rashmi MB</t>
  </si>
  <si>
    <t>22.12.2015</t>
  </si>
  <si>
    <t>Dr.Prathiba Javali (1 day LWP)</t>
  </si>
  <si>
    <t>Mr.Bhima Reddy H (P&amp;SM) (4 days LWP)</t>
  </si>
  <si>
    <t>Mrs.Gouramma (2 days LWP)</t>
  </si>
  <si>
    <t>Geethabai D/o Nagaraj (7 days salary)</t>
  </si>
  <si>
    <t>Dr Rajini GM (14 days salary)</t>
  </si>
  <si>
    <t>Adappa (appointedas per Order Ref. No/Est(2)/2015-16/2069 dtd 30.09.2015 from 01.10.2015 to 30.03.2016</t>
  </si>
  <si>
    <t>Mr.Suguresh G (Store) LWP</t>
  </si>
  <si>
    <t xml:space="preserve">Mr Shantkumar Guragol (SDA) Ab </t>
  </si>
  <si>
    <t>Smt.N.Sampath Kumari (reappointed as per O.O Ref/EST/2015-16/1806 dtd 20.08.2015, for 6 monhs, from 16.08.2015 to 15.02.2016, (3 days Ab)</t>
  </si>
  <si>
    <t xml:space="preserve">Mamatha T. D/o Thimmappa (relivced as on 03.12.2015 A.N) </t>
  </si>
  <si>
    <t>Mr.Rahul  (Hospital) (6 days Ab)</t>
  </si>
  <si>
    <t>Mr.Venkatesh S/o K Narasappa              (Micro to Hospital) 1 day Ab</t>
  </si>
  <si>
    <t>Mr.Gopi Reddy (Hospital) 13 days Salary</t>
  </si>
  <si>
    <t>Mr.Pavan Kumar (Hospital) 2 days Ab</t>
  </si>
  <si>
    <t xml:space="preserve">Stipend Pay-Pharmcist 03 </t>
  </si>
  <si>
    <t>Ambika S D/o Shamrao (appointed as per Order Ref.No.RIMS/Adm/15-16/2553 Dtd.30.11.2015 Joining from 15.12.2015 (15.12.2015 to 14.06.2016)</t>
  </si>
  <si>
    <t>Amarnath Sajjan S/o Sharnappa Sajjan  (appointed as per Order Ref.No.RIMS/Adm/15-16/2635 Dtd.07.12.2015 Joining from 09.12.2015 (09.12.2015 to 08.06.2016)</t>
  </si>
  <si>
    <t>Vacanat-24</t>
  </si>
  <si>
    <t>Dr Guruprasad Hosmani (15 days salary)</t>
  </si>
  <si>
    <t xml:space="preserve">Dr.Teeka Rao (Appointed as per vide Order Ref.No.RIMS/NRC/15-16/2552 Dtd.30.11.2015 for 11 Months, from 01.12.2015 to 31.10.2016) 2 days Ab </t>
  </si>
  <si>
    <t>Dr. Suchit Reddy (duty reported as O.O No 2015-16/2589 dtd 02.12.2015) dtd 02.12.2015 for 11 months from 07.12.2015 to 06.10.2016) joining from 07.12.2015</t>
  </si>
  <si>
    <t>Dr Kazi Wajid Husain                   (17 days salary)</t>
  </si>
  <si>
    <t>Somashekar S/o Channappa (22 days salary)</t>
  </si>
  <si>
    <t xml:space="preserve">Nagesh S M S/o Shivanagappa   (21 days salary)                              </t>
  </si>
  <si>
    <t>Miss.Manjula N (Reappointed as per vide Order Ref.No.RIMS/EST(2)/15-16/2498 Dtd.24.11.2015 for 6 Months, from 10.11.2015 to 09.05.2016) 1 day Ab</t>
  </si>
  <si>
    <t xml:space="preserve">Soumya D/o Madhavachrayya (appointed as per Order Ref.No.RIMS/Adm/15-16/2123 Dtd.07.10.2015 Joining from 13.10.2015 (13.10.2015 to 12.04.2016) 19 days oct salary, Nov 15 &amp; Dec 15 salary also added </t>
  </si>
  <si>
    <t>Sharanabasawa Hiremath  (appointed as per Order Ref.No.RIMS/Adm/15-16/1346 Dtd.23.07.2015  joining from 25.07.2015, (from 23.07.2015 to 22.01.2016) 18 days salary</t>
  </si>
  <si>
    <t>Veenashri   (appointed as per Order Ref.No.RIMS/Adm/15-16/1375 Dtd.25.07.2015  joining from 25.07.2015, (from 25.07.2015 to 24.01.2016) 2 days Ab</t>
  </si>
  <si>
    <t>Shailaja (appointed as per Order Ref.No.RIMS/EST(2)/15-16/1393 Dtd.27.07.2015 joining from 28.07.2015 (from 27.07.2015 to 26.01.2016) 1 day Ab</t>
  </si>
  <si>
    <t>Mallikarjun G (appointed as per Order Ref.No.RIMS/EST(2)/15-16/1432 Dtd.30.07.2015 joining from 31.07.2015 (from 30.07.2015 to 29.01.2016) 18 days salary</t>
  </si>
  <si>
    <t>Rohan Kumar (appointed as per Order Ref.No.RIMS/EST(2)/15-16/1431 Dtd.31.07.2015 joining from 31.07.2015 (from 31.07.2015 to 30.01.2016)  13 days salary</t>
  </si>
  <si>
    <t>Shivangouda Narasappa (appointed as per Order Ref.No.RIMS/EST(2)/15-16/1431 Dtd.31.07.2015 joining from 31.07.2015 (from 31.07.2015 to 30.01.2016) 1 day Ab</t>
  </si>
  <si>
    <t>Suhasini (appointed as per Order Ref.No.RIMS/EST(2)/15-16/1431 Dtd.31.07.2015 joining from 31.07.2015 (from 31.07.2015 to 30.01.2016) 1 day Ab</t>
  </si>
  <si>
    <t>Ratna Prabha  (appointed as per Order Ref.No.RIMS/Adm/15-16/1421 Dtd.30.07.2015   joining from 31.07.2015, (from 30.07.2015 to 29.01.2016, 1 day Ab</t>
  </si>
  <si>
    <t>Sharanabasappa  (appointed as per Order Ref.No.RIMS/Adm/15-16/1421 Dtd.30.07.2015   joining from 31.07.2015, (from 30.07.2015 to 29.01.2016, 2 day Ab</t>
  </si>
  <si>
    <t>Subhakthi G (appointed as per Order Ref.No.RIMS/Adm/15-16/1421 Dtd.30.07.2015   joining from 30.07.2015, (from 30.07.2015 to 29.01.2016, 1 day Ab</t>
  </si>
  <si>
    <t>Bassangouda P (appointed as per Order Ref.No.RIMS/Adm/15-16/1421 Dtd.30.07.2015   joining from 31.07.2015, (from 30.07.2015 to 29.01.2016, 3 days Ab</t>
  </si>
  <si>
    <t>Hanumesh (appointed as per Order Ref.No.RIMS/Adm/15-16/1421 Dtd.30.07.2015   joining from 30.07.2015, (from 30.07.2015 to 29.01.2016, 1 day Ab</t>
  </si>
  <si>
    <t>Ramitha M  (appointed as per Order Ref.No.RIMS/Adm/15-16/ Dtd.29.07.2015   joining from 29.07.2015, (from 29.07.2015 to 28.01.2016,  4 days Ab</t>
  </si>
  <si>
    <t>Renuka  (appointed as per Order Ref.No.RIMS/Adm/15-16/ Dtd.29.07.2015   joining from 29.07.2015, (from 29.07.2015 to 28.01.2016, 1 day Ab</t>
  </si>
  <si>
    <t>Gangamma  (appointed as per Order Ref.No.RIMS/Adm/15-16/ Dtd.29.07.2015   joining from 29.07.2015, (from 29.07.2015 to 28.01.2016, 3 days Ab</t>
  </si>
  <si>
    <t>Jayalaxmi G (appointed as per Order Ref.No.RIMS/Adm/15-16/ Dtd.29.07.2015   joining from 31.07.2015, (from 29.07.2015 to 28.01.2016, 3 days Ab</t>
  </si>
  <si>
    <t>Shankaribai  (appointed as per Order Ref.No.RIMS/Adm/15-16/ Dtd.29.07.2015   joining from 29.07.2015, (from 29.07.2015 to 28.01.2016, 2 days Ab</t>
  </si>
  <si>
    <t>Shakuntala  (appointed as per Order Ref.No.RIMS/Adm/15-16/ Dtd.29.07.2015   joining from 29.07.2015, (from 29.07.2015 to 28.01.2016, 6 days salary</t>
  </si>
  <si>
    <t>Sukkamma (appointed as per Order Ref.No.RIMS/Adm/15-16/1884 Dtd.31.08.2015   joining from 31.08.2015, (from 31.08.2015 to 29.02.2016, Ab</t>
  </si>
  <si>
    <t>Monamma (appointed as per Order Ref.No.RIMS/Adm/15-16/1884 Dtd.31.08.2015   joining from 31.08.2015, (from 31.08.2015 to 29.02.2016, 1 day Ab</t>
  </si>
  <si>
    <t>Deepak (appointed as per Order Ref.No.RIMS/Adm/15-16/1881 Dtd.28.08.2015   joining from 28.08.2015, (from 28.08.2015 to 27.02.2016, 2 day Ab</t>
  </si>
  <si>
    <t>Shivakumar S/0 Gaibanna (appointed as per Order Ref.No.RIMS/Adm/15-16/1880 Dtd.06.08.2015   joining from 26.08.2015, (from 26.08.2015 to 25.02.2016, joining from 30.08.2015 3 days Ab</t>
  </si>
  <si>
    <t>Rakesh S/o Malleshappa (appointed as per Order Ref.No.RIMS/Adm/15-16/2094 Dtd.03.10.2015   joining from 13.10.2015, (from 13.10.2015 to 12.04.2016, 1 day Ab</t>
  </si>
  <si>
    <t>Tirupathi S/o Rangayya  (appointed as per Order Ref.No.RIMS/Adm/15-16/2092 Dtd.03.10.2015   joining from 13.10.2015, (from 13.10.2015 to 12.04.2016, Ab</t>
  </si>
  <si>
    <t>Shashikala D/o Bajarappa (appointed as per Order Ref.No.RIMS/Adm/15-16/2097 Dtd.06.10.2015   joining from 13.10.2015, (from 13.10.2015 to 12.04.2016, 1 day Ab</t>
  </si>
  <si>
    <t>Basavalinga S/o Rangappa GM (appointed as per Order Ref.No.RIMS/Adm/15-16/2099 Dtd.06.10.2015   joining from 13.10.2015, (from 13.10.2015 to 12.04.2016, 11 days salary</t>
  </si>
  <si>
    <t>Sushma D/o Suman (appointed as per Order Ref.No.RIMS/Adm/15-16/2087 Dtd.03.10.2015   joining from 07.10.2015, (from 07.10.2015 to 06.04.2016, 20 days salary</t>
  </si>
  <si>
    <t>Anjinayya S/o Bassappa (appointed as per Order Ref.No.RIMS/Adm/15-16/1967 Dtd.03.11.2015   joining from 09.11.2015, (from 09.11.2015 to 08.05.2016, 1 day Ab</t>
  </si>
  <si>
    <t>Narendra (appointed as per Order Ref.No.RIMS/EST(2)/15-16/1431 Dtd.31.07.2015 joining from 31.07.2015 (from 31.07.2015 to 30.01.2016) 1 day Ab</t>
  </si>
  <si>
    <t>(Amount in Words :-Eighty Four Lakhs Forty One Thousnad Eight Hundred &amp; Fifty Two Only)</t>
  </si>
  <si>
    <t>Mr.G.Vinod  (Library)1 day Ab</t>
  </si>
  <si>
    <t>Mr.Thayamma  (Library) 1 day Ab</t>
  </si>
  <si>
    <t>Sri.Kariyappa Kallur (Duty Reappointed as per order Ref.No.RIMS/ADM/2015-16/2535 Dtd.26.11.2015, from 01.12.2015 to 31.05.2016 Temporary on consolidated pay for 6 months) 3 days leave</t>
  </si>
  <si>
    <t>Mr.V.Nathaniel  (Re Appointed on Temporary as per Order  Ref. No.RIMS/EST(2)/2015-16/2807   Dtd.26.12.2015 (From 06.12.2015 to 05.06.2016) 2 day Ab</t>
  </si>
  <si>
    <t xml:space="preserve">Dr.Avinash Gadwal (Appointed as per vide Order Ref.No.RIMS/NRC/15-16/ Dtd.31.12.2015 for 6 Months, from 21.12.2015 to 20.11.2016) </t>
  </si>
  <si>
    <t xml:space="preserve">Smt.Sharadhamma (Reappointed as per vide Order Ref.No.RIMS/EST(2)/15-16/ Dtd.30.12.2015 for 6 Months, from 14.12.2015 to 13.06.2016)     </t>
  </si>
  <si>
    <t xml:space="preserve">Dr Abdul Hannan (duty reported as O.O No 2015-16/264 dtd 20.05.2015) for 6 months from 03.06.2015 to 02.12.2015) joinig from 03.06.2015 </t>
  </si>
  <si>
    <t xml:space="preserve">(Amount Rupees : Forty Three Lakhs Sixty Five Thousand Two Hundred &amp; Seventy Two Only) </t>
  </si>
  <si>
    <t>(Amount in Words: One Lakh Ninety Four Thousand  Nine Hundred &amp; Seventy Six Only)</t>
  </si>
  <si>
    <t>Dr Kanakachaltathi</t>
  </si>
  <si>
    <t>Dr Madlokar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</si>
</sst>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0_);_(* \(#,##0.0000\);_(* &quot;-&quot;??_);_(@_)"/>
  </numFmts>
  <fonts count="69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b/>
      <i/>
      <sz val="12"/>
      <color indexed="8"/>
      <name val="Monotype Corsiva"/>
      <family val="4"/>
    </font>
    <font>
      <b/>
      <sz val="10"/>
      <color indexed="10"/>
      <name val="Arial"/>
      <family val="2"/>
    </font>
    <font>
      <sz val="10"/>
      <name val="Lucida Console"/>
      <family val="3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4"/>
      <color indexed="8"/>
      <name val="Monotype Corsiva"/>
      <family val="4"/>
    </font>
    <font>
      <b/>
      <sz val="8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b/>
      <sz val="9"/>
      <name val="Book Antiqua"/>
      <family val="1"/>
    </font>
    <font>
      <b/>
      <i/>
      <sz val="12"/>
      <name val="Monotype Corsiva"/>
      <family val="4"/>
    </font>
    <font>
      <sz val="8"/>
      <name val="Tahoma"/>
      <family val="2"/>
    </font>
    <font>
      <b/>
      <sz val="8"/>
      <name val="Tahoma"/>
      <family val="2"/>
    </font>
    <font>
      <b/>
      <sz val="14"/>
      <name val="Book Antiqu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sz val="8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4" fillId="0" borderId="3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3" fillId="0" borderId="11" xfId="42" applyNumberFormat="1" applyFont="1" applyBorder="1" applyAlignment="1">
      <alignment horizontal="center" vertical="center" wrapText="1"/>
    </xf>
    <xf numFmtId="0" fontId="0" fillId="0" borderId="15" xfId="42" applyNumberFormat="1" applyFont="1" applyBorder="1" applyAlignment="1">
      <alignment horizontal="center" vertical="center"/>
    </xf>
    <xf numFmtId="0" fontId="0" fillId="0" borderId="11" xfId="42" applyNumberFormat="1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1" xfId="42" applyNumberFormat="1" applyFont="1" applyBorder="1" applyAlignment="1">
      <alignment horizontal="center" vertical="center"/>
    </xf>
    <xf numFmtId="0" fontId="0" fillId="0" borderId="0" xfId="42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0" fillId="0" borderId="0" xfId="42" applyNumberFormat="1" applyFont="1" applyBorder="1" applyAlignment="1">
      <alignment horizontal="center" vertical="center"/>
    </xf>
    <xf numFmtId="0" fontId="10" fillId="0" borderId="31" xfId="42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" fontId="10" fillId="0" borderId="31" xfId="42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42" applyNumberFormat="1" applyBorder="1" applyAlignment="1">
      <alignment horizontal="center" vertical="center"/>
    </xf>
    <xf numFmtId="0" fontId="0" fillId="0" borderId="21" xfId="42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42" applyNumberFormat="1" applyBorder="1" applyAlignment="1">
      <alignment horizontal="center" vertical="center"/>
    </xf>
    <xf numFmtId="0" fontId="0" fillId="0" borderId="18" xfId="42" applyNumberFormat="1" applyBorder="1" applyAlignment="1">
      <alignment horizontal="center" vertical="center"/>
    </xf>
    <xf numFmtId="0" fontId="0" fillId="0" borderId="14" xfId="42" applyNumberFormat="1" applyBorder="1" applyAlignment="1">
      <alignment horizontal="center" vertical="center"/>
    </xf>
    <xf numFmtId="0" fontId="10" fillId="0" borderId="15" xfId="42" applyNumberFormat="1" applyFont="1" applyBorder="1" applyAlignment="1">
      <alignment horizontal="center" vertical="center"/>
    </xf>
    <xf numFmtId="0" fontId="10" fillId="0" borderId="11" xfId="42" applyNumberFormat="1" applyFont="1" applyBorder="1" applyAlignment="1">
      <alignment horizontal="center" vertical="center"/>
    </xf>
    <xf numFmtId="1" fontId="10" fillId="0" borderId="11" xfId="42" applyNumberFormat="1" applyFont="1" applyBorder="1" applyAlignment="1">
      <alignment horizontal="center" vertical="center"/>
    </xf>
    <xf numFmtId="0" fontId="13" fillId="0" borderId="0" xfId="42" applyNumberFormat="1" applyFont="1" applyAlignment="1">
      <alignment horizontal="center" vertical="center"/>
    </xf>
    <xf numFmtId="0" fontId="13" fillId="0" borderId="0" xfId="42" applyNumberFormat="1" applyFont="1" applyAlignment="1">
      <alignment horizontal="center" wrapText="1"/>
    </xf>
    <xf numFmtId="0" fontId="9" fillId="33" borderId="0" xfId="0" applyFont="1" applyFill="1" applyAlignment="1">
      <alignment/>
    </xf>
    <xf numFmtId="0" fontId="8" fillId="33" borderId="32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2" xfId="42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 horizontal="center"/>
    </xf>
    <xf numFmtId="43" fontId="8" fillId="33" borderId="0" xfId="42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/>
    </xf>
    <xf numFmtId="2" fontId="9" fillId="33" borderId="21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2" fontId="9" fillId="33" borderId="18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43" fontId="8" fillId="33" borderId="0" xfId="42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/>
    </xf>
    <xf numFmtId="2" fontId="8" fillId="33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43" fontId="8" fillId="33" borderId="32" xfId="42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2" fontId="8" fillId="33" borderId="32" xfId="0" applyNumberFormat="1" applyFont="1" applyFill="1" applyBorder="1" applyAlignment="1">
      <alignment horizontal="center" vertical="center"/>
    </xf>
    <xf numFmtId="0" fontId="9" fillId="33" borderId="32" xfId="0" applyNumberFormat="1" applyFont="1" applyFill="1" applyBorder="1" applyAlignment="1">
      <alignment horizontal="center" vertical="center" wrapText="1"/>
    </xf>
    <xf numFmtId="0" fontId="9" fillId="33" borderId="33" xfId="0" applyNumberFormat="1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3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3" fontId="3" fillId="33" borderId="15" xfId="42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3" fontId="3" fillId="33" borderId="21" xfId="42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right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43" fontId="3" fillId="33" borderId="2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/>
    </xf>
    <xf numFmtId="43" fontId="3" fillId="33" borderId="18" xfId="42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wrapText="1"/>
    </xf>
    <xf numFmtId="0" fontId="21" fillId="33" borderId="20" xfId="0" applyFont="1" applyFill="1" applyBorder="1" applyAlignment="1">
      <alignment wrapText="1"/>
    </xf>
    <xf numFmtId="43" fontId="2" fillId="33" borderId="2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wrapText="1"/>
    </xf>
    <xf numFmtId="0" fontId="20" fillId="33" borderId="20" xfId="0" applyFont="1" applyFill="1" applyBorder="1" applyAlignment="1">
      <alignment wrapText="1"/>
    </xf>
    <xf numFmtId="43" fontId="3" fillId="33" borderId="20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43" fontId="3" fillId="33" borderId="0" xfId="42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43" fontId="3" fillId="33" borderId="0" xfId="0" applyNumberFormat="1" applyFont="1" applyFill="1" applyAlignment="1">
      <alignment horizontal="left"/>
    </xf>
    <xf numFmtId="2" fontId="2" fillId="33" borderId="0" xfId="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43" fontId="2" fillId="33" borderId="0" xfId="0" applyNumberFormat="1" applyFont="1" applyFill="1" applyAlignment="1">
      <alignment horizontal="center" vertical="center"/>
    </xf>
    <xf numFmtId="0" fontId="2" fillId="33" borderId="14" xfId="0" applyFont="1" applyFill="1" applyBorder="1" applyAlignment="1">
      <alignment wrapText="1"/>
    </xf>
    <xf numFmtId="0" fontId="2" fillId="33" borderId="23" xfId="0" applyFont="1" applyFill="1" applyBorder="1" applyAlignment="1">
      <alignment wrapText="1"/>
    </xf>
    <xf numFmtId="43" fontId="2" fillId="33" borderId="2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179" fontId="3" fillId="33" borderId="11" xfId="0" applyNumberFormat="1" applyFont="1" applyFill="1" applyBorder="1" applyAlignment="1">
      <alignment horizontal="center"/>
    </xf>
    <xf numFmtId="43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 vertical="center"/>
    </xf>
    <xf numFmtId="1" fontId="2" fillId="33" borderId="0" xfId="0" applyNumberFormat="1" applyFont="1" applyFill="1" applyAlignment="1">
      <alignment horizontal="center" vertical="center"/>
    </xf>
    <xf numFmtId="43" fontId="2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2" fontId="16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43" fontId="3" fillId="33" borderId="11" xfId="42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43" fontId="3" fillId="33" borderId="19" xfId="42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43" fontId="3" fillId="33" borderId="20" xfId="42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3" fontId="3" fillId="33" borderId="26" xfId="0" applyNumberFormat="1" applyFont="1" applyFill="1" applyBorder="1" applyAlignment="1">
      <alignment vertical="center"/>
    </xf>
    <xf numFmtId="0" fontId="3" fillId="33" borderId="12" xfId="42" applyNumberFormat="1" applyFont="1" applyFill="1" applyBorder="1" applyAlignment="1">
      <alignment horizontal="center" vertical="center"/>
    </xf>
    <xf numFmtId="43" fontId="2" fillId="33" borderId="0" xfId="0" applyNumberFormat="1" applyFont="1" applyFill="1" applyAlignment="1">
      <alignment vertical="center"/>
    </xf>
    <xf numFmtId="43" fontId="2" fillId="33" borderId="0" xfId="0" applyNumberFormat="1" applyFont="1" applyFill="1" applyAlignment="1">
      <alignment wrapText="1"/>
    </xf>
    <xf numFmtId="0" fontId="21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2" fontId="2" fillId="33" borderId="20" xfId="0" applyNumberFormat="1" applyFont="1" applyFill="1" applyBorder="1" applyAlignment="1">
      <alignment vertical="center"/>
    </xf>
    <xf numFmtId="43" fontId="3" fillId="33" borderId="0" xfId="42" applyFont="1" applyFill="1" applyAlignment="1">
      <alignment horizontal="center" vertical="center"/>
    </xf>
    <xf numFmtId="0" fontId="2" fillId="33" borderId="37" xfId="0" applyFont="1" applyFill="1" applyBorder="1" applyAlignment="1">
      <alignment vertical="center" wrapText="1"/>
    </xf>
    <xf numFmtId="2" fontId="2" fillId="33" borderId="22" xfId="0" applyNumberFormat="1" applyFont="1" applyFill="1" applyBorder="1" applyAlignment="1">
      <alignment vertical="center"/>
    </xf>
    <xf numFmtId="2" fontId="2" fillId="33" borderId="0" xfId="0" applyNumberFormat="1" applyFont="1" applyFill="1" applyAlignment="1">
      <alignment/>
    </xf>
    <xf numFmtId="0" fontId="3" fillId="33" borderId="0" xfId="42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right"/>
    </xf>
    <xf numFmtId="0" fontId="18" fillId="33" borderId="16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42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5" fillId="33" borderId="40" xfId="0" applyFont="1" applyFill="1" applyBorder="1" applyAlignment="1">
      <alignment horizontal="center" vertical="center"/>
    </xf>
    <xf numFmtId="1" fontId="10" fillId="0" borderId="15" xfId="42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2" fontId="9" fillId="33" borderId="41" xfId="0" applyNumberFormat="1" applyFont="1" applyFill="1" applyBorder="1" applyAlignment="1">
      <alignment/>
    </xf>
    <xf numFmtId="0" fontId="9" fillId="33" borderId="3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2" fontId="3" fillId="33" borderId="12" xfId="4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19" xfId="42" applyNumberFormat="1" applyFont="1" applyBorder="1" applyAlignment="1">
      <alignment horizontal="center" vertical="center"/>
    </xf>
    <xf numFmtId="0" fontId="0" fillId="0" borderId="13" xfId="42" applyNumberFormat="1" applyBorder="1" applyAlignment="1">
      <alignment horizontal="center" vertical="center"/>
    </xf>
    <xf numFmtId="0" fontId="10" fillId="0" borderId="28" xfId="42" applyNumberFormat="1" applyFont="1" applyBorder="1" applyAlignment="1">
      <alignment horizontal="center" vertical="center"/>
    </xf>
    <xf numFmtId="0" fontId="0" fillId="0" borderId="20" xfId="42" applyNumberFormat="1" applyFont="1" applyBorder="1" applyAlignment="1">
      <alignment horizontal="center" vertical="center"/>
    </xf>
    <xf numFmtId="0" fontId="0" fillId="0" borderId="18" xfId="42" applyNumberFormat="1" applyFont="1" applyBorder="1" applyAlignment="1">
      <alignment horizontal="center" vertical="center"/>
    </xf>
    <xf numFmtId="1" fontId="0" fillId="0" borderId="18" xfId="42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34" borderId="3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0" fillId="0" borderId="42" xfId="42" applyNumberFormat="1" applyFont="1" applyBorder="1" applyAlignment="1">
      <alignment horizontal="center" vertical="center"/>
    </xf>
    <xf numFmtId="0" fontId="10" fillId="0" borderId="16" xfId="42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4" borderId="20" xfId="0" applyNumberFormat="1" applyFont="1" applyFill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2" fontId="2" fillId="33" borderId="0" xfId="0" applyNumberFormat="1" applyFont="1" applyFill="1" applyAlignment="1">
      <alignment vertical="center"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64" fillId="33" borderId="14" xfId="0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2" fontId="16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/>
    </xf>
    <xf numFmtId="2" fontId="27" fillId="33" borderId="38" xfId="0" applyNumberFormat="1" applyFont="1" applyFill="1" applyBorder="1" applyAlignment="1">
      <alignment horizontal="center" vertical="center"/>
    </xf>
    <xf numFmtId="43" fontId="4" fillId="33" borderId="0" xfId="0" applyNumberFormat="1" applyFont="1" applyFill="1" applyAlignment="1">
      <alignment horizontal="center" vertical="center"/>
    </xf>
    <xf numFmtId="0" fontId="3" fillId="33" borderId="19" xfId="0" applyFont="1" applyFill="1" applyBorder="1" applyAlignment="1">
      <alignment wrapText="1"/>
    </xf>
    <xf numFmtId="2" fontId="9" fillId="33" borderId="0" xfId="0" applyNumberFormat="1" applyFont="1" applyFill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2" fontId="3" fillId="33" borderId="11" xfId="42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3" fillId="33" borderId="11" xfId="42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1" fontId="2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 wrapText="1"/>
    </xf>
    <xf numFmtId="1" fontId="2" fillId="33" borderId="1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 wrapText="1"/>
    </xf>
    <xf numFmtId="1" fontId="2" fillId="33" borderId="22" xfId="0" applyNumberFormat="1" applyFont="1" applyFill="1" applyBorder="1" applyAlignment="1">
      <alignment horizontal="center" vertical="center"/>
    </xf>
    <xf numFmtId="43" fontId="3" fillId="33" borderId="22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3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43" fontId="3" fillId="33" borderId="19" xfId="0" applyNumberFormat="1" applyFont="1" applyFill="1" applyBorder="1" applyAlignment="1">
      <alignment vertical="center"/>
    </xf>
    <xf numFmtId="43" fontId="3" fillId="33" borderId="1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2" fillId="33" borderId="45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/>
    </xf>
    <xf numFmtId="43" fontId="3" fillId="33" borderId="10" xfId="42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0" xfId="42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22" xfId="42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64" fillId="33" borderId="20" xfId="0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 vertical="center"/>
    </xf>
    <xf numFmtId="0" fontId="64" fillId="33" borderId="2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64" fillId="33" borderId="18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center" vertical="center" wrapText="1"/>
    </xf>
    <xf numFmtId="1" fontId="65" fillId="33" borderId="18" xfId="0" applyNumberFormat="1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/>
    </xf>
    <xf numFmtId="0" fontId="65" fillId="33" borderId="18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 vertical="center"/>
    </xf>
    <xf numFmtId="43" fontId="66" fillId="33" borderId="18" xfId="42" applyFont="1" applyFill="1" applyBorder="1" applyAlignment="1">
      <alignment horizontal="center" vertical="center"/>
    </xf>
    <xf numFmtId="0" fontId="65" fillId="33" borderId="20" xfId="0" applyNumberFormat="1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2" fontId="66" fillId="33" borderId="18" xfId="0" applyNumberFormat="1" applyFont="1" applyFill="1" applyBorder="1" applyAlignment="1">
      <alignment horizontal="right" vertical="center"/>
    </xf>
    <xf numFmtId="43" fontId="66" fillId="33" borderId="20" xfId="0" applyNumberFormat="1" applyFont="1" applyFill="1" applyBorder="1" applyAlignment="1">
      <alignment vertical="center"/>
    </xf>
    <xf numFmtId="0" fontId="65" fillId="33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43" fontId="3" fillId="33" borderId="18" xfId="42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right"/>
    </xf>
    <xf numFmtId="43" fontId="3" fillId="33" borderId="2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9" fontId="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64" fillId="33" borderId="2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43" fontId="2" fillId="33" borderId="30" xfId="0" applyNumberFormat="1" applyFont="1" applyFill="1" applyBorder="1" applyAlignment="1">
      <alignment horizontal="center" vertical="center"/>
    </xf>
    <xf numFmtId="43" fontId="2" fillId="33" borderId="22" xfId="0" applyNumberFormat="1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vertical="center" wrapText="1"/>
    </xf>
    <xf numFmtId="0" fontId="26" fillId="33" borderId="44" xfId="0" applyFont="1" applyFill="1" applyBorder="1" applyAlignment="1">
      <alignment vertical="center"/>
    </xf>
    <xf numFmtId="2" fontId="26" fillId="33" borderId="44" xfId="0" applyNumberFormat="1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2" fontId="26" fillId="33" borderId="10" xfId="0" applyNumberFormat="1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67" fillId="33" borderId="10" xfId="0" applyFont="1" applyFill="1" applyBorder="1" applyAlignment="1">
      <alignment horizontal="left" vertical="center" wrapText="1"/>
    </xf>
    <xf numFmtId="0" fontId="26" fillId="33" borderId="49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left" vertical="center" wrapText="1"/>
    </xf>
    <xf numFmtId="0" fontId="26" fillId="33" borderId="46" xfId="0" applyFont="1" applyFill="1" applyBorder="1" applyAlignment="1">
      <alignment vertical="center"/>
    </xf>
    <xf numFmtId="2" fontId="26" fillId="33" borderId="4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3" fillId="33" borderId="12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left" wrapText="1"/>
    </xf>
    <xf numFmtId="0" fontId="2" fillId="33" borderId="53" xfId="0" applyFont="1" applyFill="1" applyBorder="1" applyAlignment="1">
      <alignment horizontal="left" wrapText="1"/>
    </xf>
    <xf numFmtId="0" fontId="15" fillId="33" borderId="5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27" fillId="33" borderId="38" xfId="0" applyFont="1" applyFill="1" applyBorder="1" applyAlignment="1">
      <alignment horizontal="right" vertical="center"/>
    </xf>
    <xf numFmtId="0" fontId="27" fillId="33" borderId="39" xfId="0" applyFont="1" applyFill="1" applyBorder="1" applyAlignment="1">
      <alignment horizontal="right" vertical="center"/>
    </xf>
    <xf numFmtId="0" fontId="27" fillId="33" borderId="55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" fontId="25" fillId="0" borderId="0" xfId="0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I%20RAM\JAI%20RAM\Salary-2011-12\January-2012\January-2012%20C%20&amp;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"/>
      <sheetName val="Non Teaching"/>
      <sheetName val="Group-D"/>
      <sheetName val="Bank Stat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3.8515625" style="0" customWidth="1"/>
    <col min="2" max="2" width="17.421875" style="0" customWidth="1"/>
    <col min="3" max="3" width="11.28125" style="9" bestFit="1" customWidth="1"/>
    <col min="4" max="4" width="10.00390625" style="9" bestFit="1" customWidth="1"/>
    <col min="5" max="5" width="8.00390625" style="9" bestFit="1" customWidth="1"/>
    <col min="6" max="6" width="8.140625" style="9" customWidth="1"/>
    <col min="7" max="7" width="7.00390625" style="9" bestFit="1" customWidth="1"/>
    <col min="8" max="8" width="6.00390625" style="9" bestFit="1" customWidth="1"/>
    <col min="9" max="9" width="7.00390625" style="9" bestFit="1" customWidth="1"/>
    <col min="10" max="10" width="6.00390625" style="9" bestFit="1" customWidth="1"/>
    <col min="11" max="11" width="8.8515625" style="283" customWidth="1"/>
    <col min="12" max="13" width="6.00390625" style="9" bestFit="1" customWidth="1"/>
    <col min="14" max="14" width="6.140625" style="9" customWidth="1"/>
    <col min="15" max="15" width="5.00390625" style="9" bestFit="1" customWidth="1"/>
    <col min="16" max="16" width="8.00390625" style="9" bestFit="1" customWidth="1"/>
    <col min="17" max="17" width="10.421875" style="9" customWidth="1"/>
    <col min="18" max="20" width="7.00390625" style="9" customWidth="1"/>
    <col min="21" max="21" width="7.00390625" style="9" bestFit="1" customWidth="1"/>
    <col min="22" max="22" width="6.8515625" style="9" bestFit="1" customWidth="1"/>
    <col min="23" max="23" width="8.00390625" style="9" bestFit="1" customWidth="1"/>
    <col min="24" max="24" width="12.140625" style="9" customWidth="1"/>
  </cols>
  <sheetData>
    <row r="3" spans="1:24" ht="12.75">
      <c r="A3" s="447" t="s">
        <v>204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</row>
    <row r="4" spans="1:11" ht="12.75">
      <c r="A4" s="9"/>
      <c r="B4" s="9"/>
      <c r="K4" s="9"/>
    </row>
    <row r="5" spans="1:24" ht="12.75">
      <c r="A5" s="455" t="s">
        <v>1417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</row>
    <row r="7" ht="13.5" thickBot="1"/>
    <row r="8" spans="1:24" s="7" customFormat="1" ht="45.75" thickBot="1">
      <c r="A8" s="19" t="s">
        <v>108</v>
      </c>
      <c r="B8" s="22" t="s">
        <v>183</v>
      </c>
      <c r="C8" s="23" t="s">
        <v>111</v>
      </c>
      <c r="D8" s="18" t="s">
        <v>177</v>
      </c>
      <c r="E8" s="23" t="s">
        <v>178</v>
      </c>
      <c r="F8" s="18" t="s">
        <v>179</v>
      </c>
      <c r="G8" s="18" t="s">
        <v>113</v>
      </c>
      <c r="H8" s="23" t="s">
        <v>184</v>
      </c>
      <c r="I8" s="18" t="s">
        <v>203</v>
      </c>
      <c r="J8" s="23" t="s">
        <v>212</v>
      </c>
      <c r="K8" s="63" t="s">
        <v>115</v>
      </c>
      <c r="L8" s="24" t="s">
        <v>116</v>
      </c>
      <c r="M8" s="25" t="s">
        <v>164</v>
      </c>
      <c r="N8" s="24" t="s">
        <v>165</v>
      </c>
      <c r="O8" s="25" t="s">
        <v>166</v>
      </c>
      <c r="P8" s="18" t="s">
        <v>117</v>
      </c>
      <c r="Q8" s="18" t="s">
        <v>41</v>
      </c>
      <c r="R8" s="23" t="s">
        <v>112</v>
      </c>
      <c r="S8" s="74" t="s">
        <v>82</v>
      </c>
      <c r="T8" s="18" t="s">
        <v>78</v>
      </c>
      <c r="U8" s="18" t="s">
        <v>118</v>
      </c>
      <c r="V8" s="23" t="s">
        <v>114</v>
      </c>
      <c r="W8" s="18" t="s">
        <v>119</v>
      </c>
      <c r="X8" s="26" t="s">
        <v>120</v>
      </c>
    </row>
    <row r="9" spans="1:24" s="11" customFormat="1" ht="16.5" customHeight="1">
      <c r="A9" s="20">
        <v>1</v>
      </c>
      <c r="B9" s="76" t="s">
        <v>185</v>
      </c>
      <c r="C9" s="78">
        <f>Teaching!D119</f>
        <v>4089004</v>
      </c>
      <c r="D9" s="77">
        <f>Teaching!E119</f>
        <v>4746918</v>
      </c>
      <c r="E9" s="78">
        <f>Teaching!F119</f>
        <v>398905</v>
      </c>
      <c r="F9" s="77">
        <v>0</v>
      </c>
      <c r="G9" s="77">
        <f>Teaching!G119</f>
        <v>495484</v>
      </c>
      <c r="H9" s="78">
        <f>Teaching!H119</f>
        <v>0</v>
      </c>
      <c r="I9" s="77">
        <f>Teaching!I119</f>
        <v>0</v>
      </c>
      <c r="J9" s="78">
        <f>Teaching!J119</f>
        <v>3775</v>
      </c>
      <c r="K9" s="284">
        <f>SUM(C9:J9)</f>
        <v>9734086</v>
      </c>
      <c r="L9" s="77">
        <f>Teaching!L119</f>
        <v>21000</v>
      </c>
      <c r="M9" s="78">
        <v>0</v>
      </c>
      <c r="N9" s="77">
        <v>0</v>
      </c>
      <c r="O9" s="78">
        <v>0</v>
      </c>
      <c r="P9" s="77">
        <f>Teaching!M119</f>
        <v>1006000</v>
      </c>
      <c r="Q9" s="77">
        <f>Teaching!Q119</f>
        <v>0</v>
      </c>
      <c r="R9" s="78">
        <f>Teaching!N119</f>
        <v>163488</v>
      </c>
      <c r="S9" s="285">
        <f>Teaching!O119</f>
        <v>1470</v>
      </c>
      <c r="T9" s="77">
        <f>Teaching!P119</f>
        <v>700</v>
      </c>
      <c r="U9" s="77">
        <f>Teaching!R119</f>
        <v>80261</v>
      </c>
      <c r="V9" s="78">
        <f>Teaching!S119</f>
        <v>19315</v>
      </c>
      <c r="W9" s="77">
        <f>SUM(L9:V9)</f>
        <v>1292234</v>
      </c>
      <c r="X9" s="286">
        <f>K9-W9</f>
        <v>8441852</v>
      </c>
    </row>
    <row r="10" spans="1:24" s="11" customFormat="1" ht="15.75" customHeight="1" thickBot="1">
      <c r="A10" s="21">
        <v>2</v>
      </c>
      <c r="B10" s="79" t="s">
        <v>187</v>
      </c>
      <c r="C10" s="81">
        <f>+'A.M.D'!C14</f>
        <v>266213</v>
      </c>
      <c r="D10" s="80">
        <f>+'A.M.D'!D14</f>
        <v>316795</v>
      </c>
      <c r="E10" s="81">
        <f>+'A.M.D'!E14</f>
        <v>26620</v>
      </c>
      <c r="F10" s="80">
        <v>0</v>
      </c>
      <c r="G10" s="80">
        <f>+'A.M.D'!F14</f>
        <v>15000</v>
      </c>
      <c r="H10" s="81">
        <v>0</v>
      </c>
      <c r="I10" s="80">
        <f>+'A.M.D'!G14</f>
        <v>0</v>
      </c>
      <c r="J10" s="81">
        <f>+'A.M.D'!H14</f>
        <v>280</v>
      </c>
      <c r="K10" s="284">
        <f>SUM(C10:J10)</f>
        <v>624908</v>
      </c>
      <c r="L10" s="287">
        <f>+'A.M.D'!J14</f>
        <v>1000</v>
      </c>
      <c r="M10" s="288">
        <f>+'A.M.D'!K14</f>
        <v>34000</v>
      </c>
      <c r="N10" s="287">
        <f>+'A.M.D'!L14</f>
        <v>3450</v>
      </c>
      <c r="O10" s="288">
        <f>+'A.M.D'!N14</f>
        <v>1200</v>
      </c>
      <c r="P10" s="287">
        <f>+'A.M.D'!O14</f>
        <v>72000</v>
      </c>
      <c r="Q10" s="287"/>
      <c r="R10" s="81">
        <v>0</v>
      </c>
      <c r="S10" s="82">
        <v>0</v>
      </c>
      <c r="T10" s="80">
        <v>0</v>
      </c>
      <c r="U10" s="80">
        <f>+'A.M.D'!M14</f>
        <v>2191</v>
      </c>
      <c r="V10" s="289">
        <v>0</v>
      </c>
      <c r="W10" s="77">
        <f>SUM(L10:V10)</f>
        <v>113841</v>
      </c>
      <c r="X10" s="286">
        <f>K10-W10</f>
        <v>511067</v>
      </c>
    </row>
    <row r="11" spans="1:24" ht="13.5" thickBot="1">
      <c r="A11" s="27"/>
      <c r="B11" s="28" t="s">
        <v>190</v>
      </c>
      <c r="C11" s="282">
        <f>SUM(C9:C10)</f>
        <v>4355217</v>
      </c>
      <c r="D11" s="282">
        <f aca="true" t="shared" si="0" ref="D11:X11">SUM(D9:D10)</f>
        <v>5063713</v>
      </c>
      <c r="E11" s="282">
        <f t="shared" si="0"/>
        <v>425525</v>
      </c>
      <c r="F11" s="282">
        <f t="shared" si="0"/>
        <v>0</v>
      </c>
      <c r="G11" s="282">
        <f t="shared" si="0"/>
        <v>510484</v>
      </c>
      <c r="H11" s="282">
        <f t="shared" si="0"/>
        <v>0</v>
      </c>
      <c r="I11" s="282">
        <f t="shared" si="0"/>
        <v>0</v>
      </c>
      <c r="J11" s="282">
        <f t="shared" si="0"/>
        <v>4055</v>
      </c>
      <c r="K11" s="282">
        <f t="shared" si="0"/>
        <v>10358994</v>
      </c>
      <c r="L11" s="282">
        <f t="shared" si="0"/>
        <v>22000</v>
      </c>
      <c r="M11" s="282">
        <f t="shared" si="0"/>
        <v>34000</v>
      </c>
      <c r="N11" s="282">
        <f t="shared" si="0"/>
        <v>3450</v>
      </c>
      <c r="O11" s="282">
        <f t="shared" si="0"/>
        <v>1200</v>
      </c>
      <c r="P11" s="282">
        <f t="shared" si="0"/>
        <v>1078000</v>
      </c>
      <c r="Q11" s="282">
        <f t="shared" si="0"/>
        <v>0</v>
      </c>
      <c r="R11" s="282">
        <f t="shared" si="0"/>
        <v>163488</v>
      </c>
      <c r="S11" s="282">
        <f t="shared" si="0"/>
        <v>1470</v>
      </c>
      <c r="T11" s="282">
        <f t="shared" si="0"/>
        <v>700</v>
      </c>
      <c r="U11" s="282">
        <f t="shared" si="0"/>
        <v>82452</v>
      </c>
      <c r="V11" s="282">
        <f t="shared" si="0"/>
        <v>19315</v>
      </c>
      <c r="W11" s="282">
        <f t="shared" si="0"/>
        <v>1406075</v>
      </c>
      <c r="X11" s="282">
        <f t="shared" si="0"/>
        <v>8952919</v>
      </c>
    </row>
    <row r="13" ht="13.5" thickBot="1"/>
    <row r="14" spans="1:11" s="6" customFormat="1" ht="31.5" customHeight="1" thickBot="1">
      <c r="A14" s="48" t="s">
        <v>108</v>
      </c>
      <c r="B14" s="30" t="s">
        <v>183</v>
      </c>
      <c r="C14" s="31" t="s">
        <v>191</v>
      </c>
      <c r="D14" s="32" t="s">
        <v>202</v>
      </c>
      <c r="E14" s="34" t="s">
        <v>192</v>
      </c>
      <c r="F14" s="30" t="s">
        <v>193</v>
      </c>
      <c r="K14" s="8"/>
    </row>
    <row r="15" spans="1:9" ht="18.75" customHeight="1">
      <c r="A15" s="46">
        <v>1</v>
      </c>
      <c r="B15" s="49" t="s">
        <v>194</v>
      </c>
      <c r="C15" s="290">
        <f>+X11</f>
        <v>8952919</v>
      </c>
      <c r="D15" s="291">
        <f>+C15</f>
        <v>8952919</v>
      </c>
      <c r="E15" s="55" t="s">
        <v>214</v>
      </c>
      <c r="F15" s="53"/>
      <c r="I15" s="281"/>
    </row>
    <row r="16" spans="1:6" ht="25.5">
      <c r="A16" s="39">
        <v>2</v>
      </c>
      <c r="B16" s="50" t="s">
        <v>107</v>
      </c>
      <c r="C16" s="292">
        <f>+L11</f>
        <v>22000</v>
      </c>
      <c r="D16" s="293">
        <f>+C16</f>
        <v>22000</v>
      </c>
      <c r="E16" s="56" t="s">
        <v>214</v>
      </c>
      <c r="F16" s="53"/>
    </row>
    <row r="17" spans="1:6" ht="12.75">
      <c r="A17" s="454">
        <v>3</v>
      </c>
      <c r="B17" s="51" t="s">
        <v>164</v>
      </c>
      <c r="C17" s="292">
        <f>+M11</f>
        <v>34000</v>
      </c>
      <c r="D17" s="448">
        <f>C17+C18+C19</f>
        <v>38650</v>
      </c>
      <c r="E17" s="451" t="s">
        <v>214</v>
      </c>
      <c r="F17" s="53"/>
    </row>
    <row r="18" spans="1:11" ht="12.75">
      <c r="A18" s="454"/>
      <c r="B18" s="51" t="s">
        <v>165</v>
      </c>
      <c r="C18" s="292">
        <f>+N11</f>
        <v>3450</v>
      </c>
      <c r="D18" s="449"/>
      <c r="E18" s="452"/>
      <c r="F18" s="53"/>
      <c r="K18" s="295"/>
    </row>
    <row r="19" spans="1:6" ht="12.75">
      <c r="A19" s="454"/>
      <c r="B19" s="51" t="s">
        <v>166</v>
      </c>
      <c r="C19" s="292">
        <f>+O11</f>
        <v>1200</v>
      </c>
      <c r="D19" s="450"/>
      <c r="E19" s="453"/>
      <c r="F19" s="53"/>
    </row>
    <row r="20" spans="1:6" ht="38.25">
      <c r="A20" s="39">
        <v>4</v>
      </c>
      <c r="B20" s="50" t="s">
        <v>213</v>
      </c>
      <c r="C20" s="292">
        <f>+P11</f>
        <v>1078000</v>
      </c>
      <c r="D20" s="293">
        <f>+C20</f>
        <v>1078000</v>
      </c>
      <c r="E20" s="56" t="s">
        <v>214</v>
      </c>
      <c r="F20" s="53"/>
    </row>
    <row r="21" spans="1:6" ht="15">
      <c r="A21" s="39">
        <v>5</v>
      </c>
      <c r="B21" s="50" t="s">
        <v>41</v>
      </c>
      <c r="C21" s="292"/>
      <c r="D21" s="294">
        <f>Q11</f>
        <v>0</v>
      </c>
      <c r="E21" s="56"/>
      <c r="F21" s="53"/>
    </row>
    <row r="22" spans="1:21" ht="25.5">
      <c r="A22" s="39">
        <v>6</v>
      </c>
      <c r="B22" s="50" t="s">
        <v>44</v>
      </c>
      <c r="C22" s="292">
        <f>+R11</f>
        <v>163488</v>
      </c>
      <c r="D22" s="294">
        <f>+C22</f>
        <v>163488</v>
      </c>
      <c r="E22" s="56" t="s">
        <v>214</v>
      </c>
      <c r="F22" s="53"/>
      <c r="S22" s="280" t="s">
        <v>174</v>
      </c>
      <c r="U22" s="283"/>
    </row>
    <row r="23" spans="1:23" ht="15">
      <c r="A23" s="39">
        <v>7</v>
      </c>
      <c r="B23" s="50" t="s">
        <v>76</v>
      </c>
      <c r="C23" s="292">
        <f>+S11</f>
        <v>1470</v>
      </c>
      <c r="D23" s="296">
        <f>+S11</f>
        <v>1470</v>
      </c>
      <c r="E23" s="39" t="s">
        <v>42</v>
      </c>
      <c r="F23" s="53"/>
      <c r="O23" s="446" t="s">
        <v>175</v>
      </c>
      <c r="P23" s="446"/>
      <c r="Q23" s="446"/>
      <c r="R23" s="446"/>
      <c r="S23" s="446"/>
      <c r="T23" s="446"/>
      <c r="U23" s="446"/>
      <c r="V23" s="446"/>
      <c r="W23" s="446"/>
    </row>
    <row r="24" spans="1:23" ht="15">
      <c r="A24" s="39">
        <v>8</v>
      </c>
      <c r="B24" s="50" t="s">
        <v>79</v>
      </c>
      <c r="C24" s="292">
        <f>+T11</f>
        <v>700</v>
      </c>
      <c r="D24" s="296">
        <f>+T11</f>
        <v>700</v>
      </c>
      <c r="E24" s="39" t="s">
        <v>42</v>
      </c>
      <c r="F24" s="53"/>
      <c r="O24" s="446" t="s">
        <v>205</v>
      </c>
      <c r="P24" s="446"/>
      <c r="Q24" s="446"/>
      <c r="R24" s="446"/>
      <c r="S24" s="446"/>
      <c r="T24" s="446"/>
      <c r="U24" s="446"/>
      <c r="V24" s="446"/>
      <c r="W24" s="446"/>
    </row>
    <row r="25" spans="1:21" ht="15">
      <c r="A25" s="39">
        <v>9</v>
      </c>
      <c r="B25" s="51" t="s">
        <v>206</v>
      </c>
      <c r="C25" s="292">
        <f>+U11</f>
        <v>82452</v>
      </c>
      <c r="D25" s="293">
        <f>+C25</f>
        <v>82452</v>
      </c>
      <c r="E25" s="56" t="s">
        <v>214</v>
      </c>
      <c r="F25" s="53"/>
      <c r="U25" s="283"/>
    </row>
    <row r="26" spans="1:6" ht="15.75" thickBot="1">
      <c r="A26" s="47">
        <v>10</v>
      </c>
      <c r="B26" s="52" t="s">
        <v>114</v>
      </c>
      <c r="C26" s="297">
        <f>+V11</f>
        <v>19315</v>
      </c>
      <c r="D26" s="294">
        <f>+C26</f>
        <v>19315</v>
      </c>
      <c r="E26" s="42" t="s">
        <v>42</v>
      </c>
      <c r="F26" s="53"/>
    </row>
    <row r="27" spans="1:6" ht="13.5" thickBot="1">
      <c r="A27" s="45"/>
      <c r="B27" s="33" t="s">
        <v>196</v>
      </c>
      <c r="C27" s="298">
        <f>SUM(C15:C26)</f>
        <v>10358994</v>
      </c>
      <c r="D27" s="298">
        <f>SUM(D15:D26)</f>
        <v>10358994</v>
      </c>
      <c r="E27" s="40"/>
      <c r="F27" s="54"/>
    </row>
    <row r="32" ht="12.75">
      <c r="U32" s="299"/>
    </row>
    <row r="33" ht="12.75">
      <c r="U33" s="299"/>
    </row>
    <row r="34" ht="12.75">
      <c r="U34" s="299"/>
    </row>
    <row r="35" spans="2:21" ht="12.75">
      <c r="B35" s="71"/>
      <c r="U35" s="299"/>
    </row>
    <row r="36" ht="12.75">
      <c r="U36" s="299"/>
    </row>
    <row r="37" ht="12.75">
      <c r="U37" s="299"/>
    </row>
    <row r="38" ht="12.75">
      <c r="U38" s="299"/>
    </row>
    <row r="39" ht="12.75">
      <c r="U39" s="299"/>
    </row>
    <row r="40" ht="12.75">
      <c r="U40" s="299"/>
    </row>
    <row r="41" ht="12.75">
      <c r="U41" s="299"/>
    </row>
    <row r="42" ht="12.75">
      <c r="U42" s="299"/>
    </row>
    <row r="43" ht="12.75">
      <c r="U43" s="299"/>
    </row>
    <row r="44" ht="12.75">
      <c r="U44" s="299"/>
    </row>
    <row r="45" ht="12.75">
      <c r="U45" s="299"/>
    </row>
    <row r="46" ht="12.75">
      <c r="U46" s="299"/>
    </row>
    <row r="47" ht="12.75">
      <c r="U47" s="299"/>
    </row>
    <row r="48" ht="12.75">
      <c r="U48" s="299"/>
    </row>
    <row r="49" ht="12.75">
      <c r="U49" s="299"/>
    </row>
    <row r="50" ht="12.75">
      <c r="U50" s="299"/>
    </row>
    <row r="51" ht="12.75">
      <c r="U51" s="299"/>
    </row>
    <row r="52" ht="12.75">
      <c r="U52" s="299"/>
    </row>
    <row r="53" ht="12.75">
      <c r="U53" s="299"/>
    </row>
    <row r="54" ht="12.75">
      <c r="U54" s="299"/>
    </row>
  </sheetData>
  <sheetProtection/>
  <mergeCells count="7">
    <mergeCell ref="O23:W23"/>
    <mergeCell ref="O24:W24"/>
    <mergeCell ref="A3:X3"/>
    <mergeCell ref="D17:D19"/>
    <mergeCell ref="E17:E19"/>
    <mergeCell ref="A17:A19"/>
    <mergeCell ref="A5:X5"/>
  </mergeCells>
  <printOptions horizontalCentered="1"/>
  <pageMargins left="0.15" right="0.14" top="1" bottom="1" header="0.5" footer="0.5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showGridLines="0" tabSelected="1" zoomScale="115" zoomScaleNormal="115" zoomScalePageLayoutView="0" workbookViewId="0" topLeftCell="A1">
      <pane ySplit="5" topLeftCell="A33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5.57421875" style="195" bestFit="1" customWidth="1"/>
    <col min="2" max="2" width="23.8515625" style="190" customWidth="1"/>
    <col min="3" max="3" width="16.8515625" style="142" customWidth="1"/>
    <col min="4" max="4" width="8.00390625" style="192" customWidth="1"/>
    <col min="5" max="5" width="8.57421875" style="192" customWidth="1"/>
    <col min="6" max="6" width="7.57421875" style="192" customWidth="1"/>
    <col min="7" max="7" width="8.00390625" style="192" customWidth="1"/>
    <col min="8" max="8" width="5.140625" style="192" customWidth="1"/>
    <col min="9" max="9" width="6.140625" style="192" customWidth="1"/>
    <col min="10" max="10" width="7.140625" style="192" customWidth="1"/>
    <col min="11" max="11" width="12.421875" style="193" customWidth="1"/>
    <col min="12" max="12" width="6.7109375" style="194" customWidth="1"/>
    <col min="13" max="13" width="7.8515625" style="195" customWidth="1"/>
    <col min="14" max="14" width="9.8515625" style="195" customWidth="1"/>
    <col min="15" max="15" width="5.00390625" style="195" customWidth="1"/>
    <col min="16" max="16" width="7.140625" style="195" customWidth="1"/>
    <col min="17" max="17" width="7.8515625" style="195" customWidth="1"/>
    <col min="18" max="18" width="6.00390625" style="195" customWidth="1"/>
    <col min="19" max="19" width="6.8515625" style="195" customWidth="1"/>
    <col min="20" max="20" width="11.57421875" style="142" customWidth="1"/>
    <col min="21" max="21" width="12.57421875" style="142" bestFit="1" customWidth="1"/>
    <col min="22" max="24" width="11.140625" style="142" bestFit="1" customWidth="1"/>
    <col min="25" max="16384" width="9.140625" style="142" customWidth="1"/>
  </cols>
  <sheetData>
    <row r="1" spans="1:21" ht="15">
      <c r="A1" s="461" t="s">
        <v>121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>
      <c r="A2" s="461" t="s">
        <v>122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</row>
    <row r="3" spans="1:21" ht="15">
      <c r="A3" s="457" t="s">
        <v>1170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</row>
    <row r="4" spans="1:21" ht="15.75" thickBot="1">
      <c r="A4" s="461" t="s">
        <v>1418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</row>
    <row r="5" spans="1:21" s="226" customFormat="1" ht="30.75" thickBot="1">
      <c r="A5" s="143" t="s">
        <v>108</v>
      </c>
      <c r="B5" s="222" t="s">
        <v>109</v>
      </c>
      <c r="C5" s="144" t="s">
        <v>110</v>
      </c>
      <c r="D5" s="146" t="s">
        <v>111</v>
      </c>
      <c r="E5" s="145" t="s">
        <v>1287</v>
      </c>
      <c r="F5" s="146" t="s">
        <v>125</v>
      </c>
      <c r="G5" s="145" t="s">
        <v>113</v>
      </c>
      <c r="H5" s="146" t="s">
        <v>145</v>
      </c>
      <c r="I5" s="145" t="s">
        <v>215</v>
      </c>
      <c r="J5" s="223" t="s">
        <v>763</v>
      </c>
      <c r="K5" s="224" t="s">
        <v>115</v>
      </c>
      <c r="L5" s="225" t="s">
        <v>116</v>
      </c>
      <c r="M5" s="145" t="s">
        <v>117</v>
      </c>
      <c r="N5" s="146" t="s">
        <v>112</v>
      </c>
      <c r="O5" s="145" t="s">
        <v>82</v>
      </c>
      <c r="P5" s="223" t="s">
        <v>78</v>
      </c>
      <c r="Q5" s="149" t="s">
        <v>41</v>
      </c>
      <c r="R5" s="145" t="s">
        <v>118</v>
      </c>
      <c r="S5" s="146" t="s">
        <v>114</v>
      </c>
      <c r="T5" s="145" t="s">
        <v>119</v>
      </c>
      <c r="U5" s="145" t="s">
        <v>120</v>
      </c>
    </row>
    <row r="6" spans="1:21" s="226" customFormat="1" ht="15" customHeight="1">
      <c r="A6" s="227" t="s">
        <v>123</v>
      </c>
      <c r="B6" s="228" t="s">
        <v>240</v>
      </c>
      <c r="C6" s="161"/>
      <c r="D6" s="158"/>
      <c r="E6" s="316"/>
      <c r="F6" s="158"/>
      <c r="G6" s="316"/>
      <c r="H6" s="158"/>
      <c r="I6" s="316"/>
      <c r="J6" s="158"/>
      <c r="K6" s="229"/>
      <c r="L6" s="159"/>
      <c r="M6" s="316"/>
      <c r="N6" s="158"/>
      <c r="O6" s="316"/>
      <c r="P6" s="230"/>
      <c r="Q6" s="316"/>
      <c r="R6" s="316"/>
      <c r="S6" s="158"/>
      <c r="T6" s="161"/>
      <c r="U6" s="161"/>
    </row>
    <row r="7" spans="1:21" s="177" customFormat="1" ht="17.25" customHeight="1">
      <c r="A7" s="233" t="s">
        <v>127</v>
      </c>
      <c r="B7" s="234" t="s">
        <v>239</v>
      </c>
      <c r="C7" s="176"/>
      <c r="D7" s="166"/>
      <c r="E7" s="167"/>
      <c r="F7" s="166"/>
      <c r="G7" s="167"/>
      <c r="H7" s="166"/>
      <c r="I7" s="167"/>
      <c r="J7" s="166"/>
      <c r="K7" s="231"/>
      <c r="L7" s="171"/>
      <c r="M7" s="167"/>
      <c r="N7" s="166"/>
      <c r="O7" s="167"/>
      <c r="P7" s="232"/>
      <c r="Q7" s="167"/>
      <c r="R7" s="167"/>
      <c r="S7" s="166"/>
      <c r="T7" s="176"/>
      <c r="U7" s="176"/>
    </row>
    <row r="8" spans="1:21" s="177" customFormat="1" ht="18" customHeight="1">
      <c r="A8" s="167">
        <v>1</v>
      </c>
      <c r="B8" s="330" t="s">
        <v>1070</v>
      </c>
      <c r="C8" s="176" t="s">
        <v>132</v>
      </c>
      <c r="D8" s="166">
        <v>65017</v>
      </c>
      <c r="E8" s="167">
        <f aca="true" t="shared" si="0" ref="E8:E23">ROUND(D8*119%,0)</f>
        <v>77370</v>
      </c>
      <c r="F8" s="166">
        <f aca="true" t="shared" si="1" ref="F8:F23">ROUND(D8*10%,0)</f>
        <v>6502</v>
      </c>
      <c r="G8" s="167">
        <v>0</v>
      </c>
      <c r="H8" s="166">
        <v>0</v>
      </c>
      <c r="I8" s="167">
        <v>0</v>
      </c>
      <c r="J8" s="166"/>
      <c r="K8" s="231">
        <f aca="true" t="shared" si="2" ref="K8:K23">SUM(D8:J8)</f>
        <v>148889</v>
      </c>
      <c r="L8" s="171">
        <v>200</v>
      </c>
      <c r="M8" s="331">
        <v>20000</v>
      </c>
      <c r="N8" s="166">
        <f>+F8</f>
        <v>6502</v>
      </c>
      <c r="O8" s="167">
        <v>42</v>
      </c>
      <c r="P8" s="232">
        <v>20</v>
      </c>
      <c r="Q8" s="167"/>
      <c r="R8" s="167"/>
      <c r="S8" s="166"/>
      <c r="T8" s="172">
        <f aca="true" t="shared" si="3" ref="T8:T23">SUM(L8:S8)</f>
        <v>26764</v>
      </c>
      <c r="U8" s="172">
        <f aca="true" t="shared" si="4" ref="U8:U23">K8-T8</f>
        <v>122125</v>
      </c>
    </row>
    <row r="9" spans="1:21" s="177" customFormat="1" ht="18" customHeight="1">
      <c r="A9" s="167">
        <v>2</v>
      </c>
      <c r="B9" s="332" t="s">
        <v>1172</v>
      </c>
      <c r="C9" s="176" t="s">
        <v>133</v>
      </c>
      <c r="D9" s="158">
        <v>63085</v>
      </c>
      <c r="E9" s="167">
        <f t="shared" si="0"/>
        <v>75071</v>
      </c>
      <c r="F9" s="158">
        <f t="shared" si="1"/>
        <v>6309</v>
      </c>
      <c r="G9" s="316">
        <v>17000</v>
      </c>
      <c r="H9" s="158">
        <v>0</v>
      </c>
      <c r="I9" s="316">
        <v>0</v>
      </c>
      <c r="J9" s="158">
        <v>0</v>
      </c>
      <c r="K9" s="231">
        <f t="shared" si="2"/>
        <v>161465</v>
      </c>
      <c r="L9" s="159">
        <v>200</v>
      </c>
      <c r="M9" s="333">
        <v>25000</v>
      </c>
      <c r="N9" s="158"/>
      <c r="O9" s="167"/>
      <c r="P9" s="230"/>
      <c r="Q9" s="316"/>
      <c r="R9" s="167"/>
      <c r="S9" s="158"/>
      <c r="T9" s="172">
        <f t="shared" si="3"/>
        <v>25200</v>
      </c>
      <c r="U9" s="172">
        <f t="shared" si="4"/>
        <v>136265</v>
      </c>
    </row>
    <row r="10" spans="1:21" s="177" customFormat="1" ht="18" customHeight="1">
      <c r="A10" s="167">
        <v>3</v>
      </c>
      <c r="B10" s="334" t="s">
        <v>1026</v>
      </c>
      <c r="C10" s="335" t="s">
        <v>135</v>
      </c>
      <c r="D10" s="166">
        <v>63412</v>
      </c>
      <c r="E10" s="167">
        <f t="shared" si="0"/>
        <v>75460</v>
      </c>
      <c r="F10" s="166">
        <f t="shared" si="1"/>
        <v>6341</v>
      </c>
      <c r="G10" s="167">
        <v>0</v>
      </c>
      <c r="H10" s="166">
        <v>0</v>
      </c>
      <c r="I10" s="167">
        <v>0</v>
      </c>
      <c r="J10" s="166"/>
      <c r="K10" s="231">
        <f t="shared" si="2"/>
        <v>145213</v>
      </c>
      <c r="L10" s="171">
        <v>200</v>
      </c>
      <c r="M10" s="331">
        <v>20000</v>
      </c>
      <c r="N10" s="166"/>
      <c r="O10" s="167"/>
      <c r="P10" s="232"/>
      <c r="Q10" s="167"/>
      <c r="R10" s="167"/>
      <c r="S10" s="166"/>
      <c r="T10" s="172">
        <f t="shared" si="3"/>
        <v>20200</v>
      </c>
      <c r="U10" s="172">
        <f t="shared" si="4"/>
        <v>125013</v>
      </c>
    </row>
    <row r="11" spans="1:21" s="177" customFormat="1" ht="15">
      <c r="A11" s="167">
        <v>4</v>
      </c>
      <c r="B11" s="336" t="s">
        <v>207</v>
      </c>
      <c r="C11" s="335" t="s">
        <v>137</v>
      </c>
      <c r="D11" s="166">
        <v>61565</v>
      </c>
      <c r="E11" s="167">
        <f t="shared" si="0"/>
        <v>73262</v>
      </c>
      <c r="F11" s="166">
        <f t="shared" si="1"/>
        <v>6157</v>
      </c>
      <c r="G11" s="167">
        <v>0</v>
      </c>
      <c r="H11" s="166">
        <v>0</v>
      </c>
      <c r="I11" s="167">
        <v>0</v>
      </c>
      <c r="J11" s="166"/>
      <c r="K11" s="231">
        <f t="shared" si="2"/>
        <v>140984</v>
      </c>
      <c r="L11" s="171">
        <v>200</v>
      </c>
      <c r="M11" s="331">
        <v>15000</v>
      </c>
      <c r="N11" s="166">
        <f>+F11</f>
        <v>6157</v>
      </c>
      <c r="O11" s="167">
        <v>42</v>
      </c>
      <c r="P11" s="232">
        <v>20</v>
      </c>
      <c r="Q11" s="167"/>
      <c r="R11" s="167">
        <f>4335+559</f>
        <v>4894</v>
      </c>
      <c r="S11" s="166"/>
      <c r="T11" s="172">
        <f t="shared" si="3"/>
        <v>26313</v>
      </c>
      <c r="U11" s="172">
        <f t="shared" si="4"/>
        <v>114671</v>
      </c>
    </row>
    <row r="12" spans="1:21" s="177" customFormat="1" ht="18" customHeight="1">
      <c r="A12" s="167">
        <v>5</v>
      </c>
      <c r="B12" s="330" t="s">
        <v>153</v>
      </c>
      <c r="C12" s="337" t="s">
        <v>129</v>
      </c>
      <c r="D12" s="166">
        <v>58868</v>
      </c>
      <c r="E12" s="167">
        <f t="shared" si="0"/>
        <v>70053</v>
      </c>
      <c r="F12" s="166">
        <f t="shared" si="1"/>
        <v>5887</v>
      </c>
      <c r="G12" s="167">
        <v>17000</v>
      </c>
      <c r="H12" s="166"/>
      <c r="I12" s="167"/>
      <c r="J12" s="166">
        <v>1000</v>
      </c>
      <c r="K12" s="231">
        <f t="shared" si="2"/>
        <v>152808</v>
      </c>
      <c r="L12" s="171">
        <v>200</v>
      </c>
      <c r="M12" s="331">
        <v>35000</v>
      </c>
      <c r="N12" s="166">
        <f>+F12</f>
        <v>5887</v>
      </c>
      <c r="O12" s="167">
        <v>42</v>
      </c>
      <c r="P12" s="232">
        <v>20</v>
      </c>
      <c r="Q12" s="167"/>
      <c r="R12" s="167"/>
      <c r="S12" s="166"/>
      <c r="T12" s="172">
        <f t="shared" si="3"/>
        <v>41149</v>
      </c>
      <c r="U12" s="172">
        <f t="shared" si="4"/>
        <v>111659</v>
      </c>
    </row>
    <row r="13" spans="1:21" s="177" customFormat="1" ht="18" customHeight="1">
      <c r="A13" s="167">
        <v>6</v>
      </c>
      <c r="B13" s="330" t="s">
        <v>902</v>
      </c>
      <c r="C13" s="176" t="s">
        <v>357</v>
      </c>
      <c r="D13" s="166">
        <v>60281</v>
      </c>
      <c r="E13" s="167">
        <f t="shared" si="0"/>
        <v>71734</v>
      </c>
      <c r="F13" s="166">
        <f t="shared" si="1"/>
        <v>6028</v>
      </c>
      <c r="G13" s="167">
        <v>17000</v>
      </c>
      <c r="H13" s="166"/>
      <c r="I13" s="167"/>
      <c r="J13" s="166"/>
      <c r="K13" s="231">
        <f t="shared" si="2"/>
        <v>155043</v>
      </c>
      <c r="L13" s="171">
        <v>200</v>
      </c>
      <c r="M13" s="331">
        <v>30000</v>
      </c>
      <c r="N13" s="166">
        <f>+F13</f>
        <v>6028</v>
      </c>
      <c r="O13" s="167">
        <v>42</v>
      </c>
      <c r="P13" s="232">
        <v>20</v>
      </c>
      <c r="Q13" s="167"/>
      <c r="R13" s="167"/>
      <c r="S13" s="166"/>
      <c r="T13" s="172">
        <f t="shared" si="3"/>
        <v>36290</v>
      </c>
      <c r="U13" s="172">
        <f t="shared" si="4"/>
        <v>118753</v>
      </c>
    </row>
    <row r="14" spans="1:21" s="177" customFormat="1" ht="15">
      <c r="A14" s="167">
        <v>7</v>
      </c>
      <c r="B14" s="330" t="s">
        <v>1333</v>
      </c>
      <c r="C14" s="176" t="s">
        <v>150</v>
      </c>
      <c r="D14" s="166">
        <v>48822</v>
      </c>
      <c r="E14" s="167">
        <f t="shared" si="0"/>
        <v>58098</v>
      </c>
      <c r="F14" s="166">
        <f t="shared" si="1"/>
        <v>4882</v>
      </c>
      <c r="G14" s="167">
        <v>17000</v>
      </c>
      <c r="H14" s="166"/>
      <c r="I14" s="167"/>
      <c r="J14" s="166"/>
      <c r="K14" s="231">
        <f t="shared" si="2"/>
        <v>128802</v>
      </c>
      <c r="L14" s="171">
        <v>200</v>
      </c>
      <c r="M14" s="331">
        <v>20000</v>
      </c>
      <c r="N14" s="166">
        <v>4882</v>
      </c>
      <c r="O14" s="167">
        <v>42</v>
      </c>
      <c r="P14" s="232">
        <v>20</v>
      </c>
      <c r="Q14" s="167"/>
      <c r="R14" s="167"/>
      <c r="S14" s="166"/>
      <c r="T14" s="172">
        <f t="shared" si="3"/>
        <v>25144</v>
      </c>
      <c r="U14" s="172">
        <f t="shared" si="4"/>
        <v>103658</v>
      </c>
    </row>
    <row r="15" spans="1:21" s="177" customFormat="1" ht="15">
      <c r="A15" s="167">
        <v>8</v>
      </c>
      <c r="B15" s="330" t="s">
        <v>1334</v>
      </c>
      <c r="C15" s="176" t="s">
        <v>158</v>
      </c>
      <c r="D15" s="166">
        <v>48822</v>
      </c>
      <c r="E15" s="167">
        <f t="shared" si="0"/>
        <v>58098</v>
      </c>
      <c r="F15" s="166">
        <f t="shared" si="1"/>
        <v>4882</v>
      </c>
      <c r="G15" s="167">
        <v>17000</v>
      </c>
      <c r="H15" s="166"/>
      <c r="I15" s="167"/>
      <c r="J15" s="166"/>
      <c r="K15" s="231">
        <f t="shared" si="2"/>
        <v>128802</v>
      </c>
      <c r="L15" s="171">
        <v>200</v>
      </c>
      <c r="M15" s="167">
        <v>0</v>
      </c>
      <c r="N15" s="166">
        <v>4882</v>
      </c>
      <c r="O15" s="167">
        <v>42</v>
      </c>
      <c r="P15" s="232">
        <v>20</v>
      </c>
      <c r="Q15" s="167"/>
      <c r="R15" s="167"/>
      <c r="S15" s="166"/>
      <c r="T15" s="172">
        <f t="shared" si="3"/>
        <v>5144</v>
      </c>
      <c r="U15" s="172">
        <f t="shared" si="4"/>
        <v>123658</v>
      </c>
    </row>
    <row r="16" spans="1:21" s="177" customFormat="1" ht="15">
      <c r="A16" s="316">
        <v>9</v>
      </c>
      <c r="B16" s="338" t="s">
        <v>1261</v>
      </c>
      <c r="C16" s="337" t="s">
        <v>147</v>
      </c>
      <c r="D16" s="166">
        <v>50287</v>
      </c>
      <c r="E16" s="167">
        <f t="shared" si="0"/>
        <v>59842</v>
      </c>
      <c r="F16" s="166">
        <f t="shared" si="1"/>
        <v>5029</v>
      </c>
      <c r="G16" s="167">
        <v>17000</v>
      </c>
      <c r="H16" s="166"/>
      <c r="I16" s="167"/>
      <c r="J16" s="166"/>
      <c r="K16" s="231">
        <f t="shared" si="2"/>
        <v>132158</v>
      </c>
      <c r="L16" s="171">
        <v>200</v>
      </c>
      <c r="M16" s="167">
        <v>20000</v>
      </c>
      <c r="N16" s="166">
        <f>F16</f>
        <v>5029</v>
      </c>
      <c r="O16" s="167">
        <v>42</v>
      </c>
      <c r="P16" s="232">
        <v>20</v>
      </c>
      <c r="Q16" s="167"/>
      <c r="R16" s="167"/>
      <c r="S16" s="166"/>
      <c r="T16" s="172">
        <f t="shared" si="3"/>
        <v>25291</v>
      </c>
      <c r="U16" s="172">
        <f t="shared" si="4"/>
        <v>106867</v>
      </c>
    </row>
    <row r="17" spans="1:21" s="177" customFormat="1" ht="15">
      <c r="A17" s="167">
        <v>10</v>
      </c>
      <c r="B17" s="330" t="s">
        <v>694</v>
      </c>
      <c r="C17" s="176" t="s">
        <v>136</v>
      </c>
      <c r="D17" s="166">
        <v>48822</v>
      </c>
      <c r="E17" s="167">
        <f t="shared" si="0"/>
        <v>58098</v>
      </c>
      <c r="F17" s="166">
        <f t="shared" si="1"/>
        <v>4882</v>
      </c>
      <c r="G17" s="167">
        <v>17000</v>
      </c>
      <c r="H17" s="166"/>
      <c r="I17" s="167"/>
      <c r="J17" s="166"/>
      <c r="K17" s="231">
        <f t="shared" si="2"/>
        <v>128802</v>
      </c>
      <c r="L17" s="171">
        <v>200</v>
      </c>
      <c r="M17" s="331">
        <v>18000</v>
      </c>
      <c r="N17" s="166"/>
      <c r="O17" s="167"/>
      <c r="P17" s="232"/>
      <c r="Q17" s="167"/>
      <c r="R17" s="167"/>
      <c r="S17" s="166"/>
      <c r="T17" s="172">
        <f t="shared" si="3"/>
        <v>18200</v>
      </c>
      <c r="U17" s="172">
        <f t="shared" si="4"/>
        <v>110602</v>
      </c>
    </row>
    <row r="18" spans="1:21" s="177" customFormat="1" ht="15">
      <c r="A18" s="167">
        <v>11</v>
      </c>
      <c r="B18" s="330" t="s">
        <v>695</v>
      </c>
      <c r="C18" s="176" t="s">
        <v>693</v>
      </c>
      <c r="D18" s="166">
        <v>48822</v>
      </c>
      <c r="E18" s="167">
        <f t="shared" si="0"/>
        <v>58098</v>
      </c>
      <c r="F18" s="166">
        <f t="shared" si="1"/>
        <v>4882</v>
      </c>
      <c r="G18" s="167">
        <v>17000</v>
      </c>
      <c r="H18" s="166"/>
      <c r="I18" s="167"/>
      <c r="J18" s="166"/>
      <c r="K18" s="231">
        <f t="shared" si="2"/>
        <v>128802</v>
      </c>
      <c r="L18" s="171">
        <v>200</v>
      </c>
      <c r="M18" s="331">
        <v>20000</v>
      </c>
      <c r="N18" s="166">
        <v>4882</v>
      </c>
      <c r="O18" s="167">
        <v>42</v>
      </c>
      <c r="P18" s="232">
        <v>20</v>
      </c>
      <c r="Q18" s="167"/>
      <c r="R18" s="167"/>
      <c r="S18" s="166"/>
      <c r="T18" s="172">
        <f t="shared" si="3"/>
        <v>25144</v>
      </c>
      <c r="U18" s="172">
        <f t="shared" si="4"/>
        <v>103658</v>
      </c>
    </row>
    <row r="19" spans="1:21" s="177" customFormat="1" ht="18" customHeight="1">
      <c r="A19" s="167">
        <v>12</v>
      </c>
      <c r="B19" s="330" t="s">
        <v>852</v>
      </c>
      <c r="C19" s="176" t="s">
        <v>152</v>
      </c>
      <c r="D19" s="166">
        <v>57153</v>
      </c>
      <c r="E19" s="167">
        <f t="shared" si="0"/>
        <v>68012</v>
      </c>
      <c r="F19" s="166">
        <f t="shared" si="1"/>
        <v>5715</v>
      </c>
      <c r="G19" s="167">
        <v>0</v>
      </c>
      <c r="H19" s="166"/>
      <c r="I19" s="167"/>
      <c r="J19" s="166"/>
      <c r="K19" s="231">
        <f t="shared" si="2"/>
        <v>130880</v>
      </c>
      <c r="L19" s="171">
        <v>200</v>
      </c>
      <c r="M19" s="331">
        <v>20000</v>
      </c>
      <c r="N19" s="166"/>
      <c r="O19" s="167"/>
      <c r="P19" s="232"/>
      <c r="Q19" s="167"/>
      <c r="R19" s="167"/>
      <c r="S19" s="166"/>
      <c r="T19" s="172">
        <f t="shared" si="3"/>
        <v>20200</v>
      </c>
      <c r="U19" s="172">
        <f t="shared" si="4"/>
        <v>110680</v>
      </c>
    </row>
    <row r="20" spans="1:21" s="177" customFormat="1" ht="18" customHeight="1">
      <c r="A20" s="167">
        <v>13</v>
      </c>
      <c r="B20" s="330" t="s">
        <v>903</v>
      </c>
      <c r="C20" s="176" t="s">
        <v>128</v>
      </c>
      <c r="D20" s="166">
        <v>58838</v>
      </c>
      <c r="E20" s="167">
        <f t="shared" si="0"/>
        <v>70017</v>
      </c>
      <c r="F20" s="166">
        <f t="shared" si="1"/>
        <v>5884</v>
      </c>
      <c r="G20" s="167">
        <v>17000</v>
      </c>
      <c r="H20" s="166"/>
      <c r="I20" s="167"/>
      <c r="J20" s="166"/>
      <c r="K20" s="231">
        <f t="shared" si="2"/>
        <v>151739</v>
      </c>
      <c r="L20" s="171">
        <v>200</v>
      </c>
      <c r="M20" s="331">
        <v>20000</v>
      </c>
      <c r="N20" s="166">
        <v>5884</v>
      </c>
      <c r="O20" s="167">
        <v>42</v>
      </c>
      <c r="P20" s="232">
        <v>20</v>
      </c>
      <c r="Q20" s="167"/>
      <c r="R20" s="167">
        <v>17816</v>
      </c>
      <c r="S20" s="166"/>
      <c r="T20" s="172">
        <f t="shared" si="3"/>
        <v>43962</v>
      </c>
      <c r="U20" s="172">
        <f t="shared" si="4"/>
        <v>107777</v>
      </c>
    </row>
    <row r="21" spans="1:21" s="177" customFormat="1" ht="18" customHeight="1">
      <c r="A21" s="167">
        <v>14</v>
      </c>
      <c r="B21" s="330" t="s">
        <v>853</v>
      </c>
      <c r="C21" s="176" t="s">
        <v>134</v>
      </c>
      <c r="D21" s="166">
        <v>58838</v>
      </c>
      <c r="E21" s="167">
        <f t="shared" si="0"/>
        <v>70017</v>
      </c>
      <c r="F21" s="166">
        <f t="shared" si="1"/>
        <v>5884</v>
      </c>
      <c r="G21" s="167">
        <v>17000</v>
      </c>
      <c r="H21" s="166"/>
      <c r="I21" s="167"/>
      <c r="J21" s="166"/>
      <c r="K21" s="231">
        <f t="shared" si="2"/>
        <v>151739</v>
      </c>
      <c r="L21" s="171">
        <v>200</v>
      </c>
      <c r="M21" s="331">
        <v>20000</v>
      </c>
      <c r="N21" s="166"/>
      <c r="O21" s="167"/>
      <c r="P21" s="232"/>
      <c r="Q21" s="167"/>
      <c r="R21" s="167"/>
      <c r="S21" s="166"/>
      <c r="T21" s="172">
        <f t="shared" si="3"/>
        <v>20200</v>
      </c>
      <c r="U21" s="172">
        <f t="shared" si="4"/>
        <v>131539</v>
      </c>
    </row>
    <row r="22" spans="1:24" s="177" customFormat="1" ht="15">
      <c r="A22" s="325">
        <v>15</v>
      </c>
      <c r="B22" s="323" t="s">
        <v>1262</v>
      </c>
      <c r="C22" s="339" t="s">
        <v>148</v>
      </c>
      <c r="D22" s="166">
        <v>57153</v>
      </c>
      <c r="E22" s="167">
        <f t="shared" si="0"/>
        <v>68012</v>
      </c>
      <c r="F22" s="166">
        <f t="shared" si="1"/>
        <v>5715</v>
      </c>
      <c r="G22" s="167">
        <v>0</v>
      </c>
      <c r="H22" s="166"/>
      <c r="I22" s="167"/>
      <c r="J22" s="166">
        <v>0</v>
      </c>
      <c r="K22" s="231">
        <f t="shared" si="2"/>
        <v>130880</v>
      </c>
      <c r="L22" s="317">
        <v>200</v>
      </c>
      <c r="M22" s="331">
        <v>20000</v>
      </c>
      <c r="N22" s="166"/>
      <c r="O22" s="167"/>
      <c r="P22" s="232"/>
      <c r="Q22" s="167"/>
      <c r="R22" s="167"/>
      <c r="S22" s="166"/>
      <c r="T22" s="172">
        <f t="shared" si="3"/>
        <v>20200</v>
      </c>
      <c r="U22" s="172">
        <f t="shared" si="4"/>
        <v>110680</v>
      </c>
      <c r="W22" s="240" t="e">
        <f>#REF!+K38</f>
        <v>#REF!</v>
      </c>
      <c r="X22" s="240" t="e">
        <f>W38-#REF!</f>
        <v>#REF!</v>
      </c>
    </row>
    <row r="23" spans="1:24" s="177" customFormat="1" ht="18" customHeight="1">
      <c r="A23" s="325">
        <v>16</v>
      </c>
      <c r="B23" s="323" t="s">
        <v>1147</v>
      </c>
      <c r="C23" s="339" t="s">
        <v>149</v>
      </c>
      <c r="D23" s="166">
        <v>57153</v>
      </c>
      <c r="E23" s="167">
        <f t="shared" si="0"/>
        <v>68012</v>
      </c>
      <c r="F23" s="166">
        <f t="shared" si="1"/>
        <v>5715</v>
      </c>
      <c r="G23" s="167">
        <v>0</v>
      </c>
      <c r="H23" s="166"/>
      <c r="I23" s="167"/>
      <c r="J23" s="166"/>
      <c r="K23" s="231">
        <f t="shared" si="2"/>
        <v>130880</v>
      </c>
      <c r="L23" s="324">
        <v>200</v>
      </c>
      <c r="M23" s="331">
        <v>20000</v>
      </c>
      <c r="N23" s="166"/>
      <c r="O23" s="167"/>
      <c r="P23" s="232"/>
      <c r="Q23" s="167"/>
      <c r="R23" s="167"/>
      <c r="S23" s="166"/>
      <c r="T23" s="172">
        <f t="shared" si="3"/>
        <v>20200</v>
      </c>
      <c r="U23" s="172">
        <f t="shared" si="4"/>
        <v>110680</v>
      </c>
      <c r="W23" s="240" t="e">
        <f>#REF!+K23</f>
        <v>#REF!</v>
      </c>
      <c r="X23" s="240" t="e">
        <f>W23-#REF!</f>
        <v>#REF!</v>
      </c>
    </row>
    <row r="24" spans="1:21" s="177" customFormat="1" ht="16.5" customHeight="1">
      <c r="A24" s="233">
        <v>17</v>
      </c>
      <c r="B24" s="234" t="s">
        <v>1148</v>
      </c>
      <c r="C24" s="176"/>
      <c r="D24" s="166"/>
      <c r="E24" s="167"/>
      <c r="F24" s="166"/>
      <c r="G24" s="167"/>
      <c r="H24" s="166"/>
      <c r="I24" s="167"/>
      <c r="J24" s="166"/>
      <c r="K24" s="231"/>
      <c r="L24" s="171"/>
      <c r="M24" s="167"/>
      <c r="N24" s="166"/>
      <c r="O24" s="167"/>
      <c r="P24" s="232"/>
      <c r="Q24" s="167"/>
      <c r="R24" s="167"/>
      <c r="S24" s="166"/>
      <c r="T24" s="172"/>
      <c r="U24" s="172"/>
    </row>
    <row r="25" spans="1:21" s="177" customFormat="1" ht="15" customHeight="1">
      <c r="A25" s="233" t="s">
        <v>138</v>
      </c>
      <c r="B25" s="234" t="s">
        <v>241</v>
      </c>
      <c r="C25" s="176"/>
      <c r="D25" s="166"/>
      <c r="E25" s="167"/>
      <c r="F25" s="166"/>
      <c r="G25" s="167"/>
      <c r="H25" s="166"/>
      <c r="I25" s="167"/>
      <c r="J25" s="166"/>
      <c r="K25" s="231"/>
      <c r="L25" s="171"/>
      <c r="M25" s="167"/>
      <c r="N25" s="166"/>
      <c r="O25" s="167"/>
      <c r="P25" s="232"/>
      <c r="Q25" s="167"/>
      <c r="R25" s="167"/>
      <c r="S25" s="166"/>
      <c r="T25" s="176"/>
      <c r="U25" s="176"/>
    </row>
    <row r="26" spans="1:21" s="177" customFormat="1" ht="15">
      <c r="A26" s="167">
        <v>1</v>
      </c>
      <c r="B26" s="330" t="s">
        <v>1263</v>
      </c>
      <c r="C26" s="176" t="s">
        <v>129</v>
      </c>
      <c r="D26" s="166">
        <v>59263</v>
      </c>
      <c r="E26" s="167">
        <f aca="true" t="shared" si="5" ref="E26:E31">ROUND(D26*119%,0)</f>
        <v>70523</v>
      </c>
      <c r="F26" s="166">
        <f aca="true" t="shared" si="6" ref="F26:F31">ROUND(D26*10%,0)</f>
        <v>5926</v>
      </c>
      <c r="G26" s="167">
        <v>0</v>
      </c>
      <c r="H26" s="166"/>
      <c r="I26" s="167"/>
      <c r="J26" s="166"/>
      <c r="K26" s="231">
        <f aca="true" t="shared" si="7" ref="K26:K48">SUM(D26:J26)</f>
        <v>135712</v>
      </c>
      <c r="L26" s="171">
        <v>200</v>
      </c>
      <c r="M26" s="331">
        <v>21000</v>
      </c>
      <c r="N26" s="166"/>
      <c r="O26" s="167"/>
      <c r="P26" s="232"/>
      <c r="Q26" s="167"/>
      <c r="R26" s="167"/>
      <c r="S26" s="166"/>
      <c r="T26" s="172">
        <f aca="true" t="shared" si="8" ref="T26:T31">SUM(L26:S26)</f>
        <v>21200</v>
      </c>
      <c r="U26" s="172">
        <f>K26-T26</f>
        <v>114512</v>
      </c>
    </row>
    <row r="27" spans="1:21" s="177" customFormat="1" ht="18" customHeight="1">
      <c r="A27" s="167">
        <v>2</v>
      </c>
      <c r="B27" s="330" t="s">
        <v>854</v>
      </c>
      <c r="C27" s="176" t="s">
        <v>131</v>
      </c>
      <c r="D27" s="166">
        <v>56153</v>
      </c>
      <c r="E27" s="167">
        <f t="shared" si="5"/>
        <v>66822</v>
      </c>
      <c r="F27" s="166">
        <f t="shared" si="6"/>
        <v>5615</v>
      </c>
      <c r="G27" s="167">
        <v>0</v>
      </c>
      <c r="H27" s="166"/>
      <c r="I27" s="167"/>
      <c r="J27" s="166"/>
      <c r="K27" s="231">
        <f t="shared" si="7"/>
        <v>128590</v>
      </c>
      <c r="L27" s="171">
        <v>200</v>
      </c>
      <c r="M27" s="331">
        <v>15000</v>
      </c>
      <c r="N27" s="166"/>
      <c r="O27" s="167"/>
      <c r="P27" s="232"/>
      <c r="Q27" s="167"/>
      <c r="R27" s="167"/>
      <c r="S27" s="166"/>
      <c r="T27" s="172">
        <f t="shared" si="8"/>
        <v>15200</v>
      </c>
      <c r="U27" s="172">
        <f aca="true" t="shared" si="9" ref="U27:U48">K27-T27</f>
        <v>113390</v>
      </c>
    </row>
    <row r="28" spans="1:21" s="177" customFormat="1" ht="18" customHeight="1">
      <c r="A28" s="167">
        <v>3</v>
      </c>
      <c r="B28" s="330" t="s">
        <v>586</v>
      </c>
      <c r="C28" s="176" t="s">
        <v>132</v>
      </c>
      <c r="D28" s="166">
        <v>57248</v>
      </c>
      <c r="E28" s="167">
        <f t="shared" si="5"/>
        <v>68125</v>
      </c>
      <c r="F28" s="166">
        <f t="shared" si="6"/>
        <v>5725</v>
      </c>
      <c r="G28" s="167">
        <v>0</v>
      </c>
      <c r="H28" s="166"/>
      <c r="I28" s="167"/>
      <c r="J28" s="166"/>
      <c r="K28" s="231">
        <f t="shared" si="7"/>
        <v>131098</v>
      </c>
      <c r="L28" s="171">
        <v>200</v>
      </c>
      <c r="M28" s="331">
        <v>20000</v>
      </c>
      <c r="N28" s="166"/>
      <c r="O28" s="167"/>
      <c r="P28" s="232"/>
      <c r="Q28" s="167"/>
      <c r="R28" s="167"/>
      <c r="S28" s="166"/>
      <c r="T28" s="172">
        <f t="shared" si="8"/>
        <v>20200</v>
      </c>
      <c r="U28" s="172">
        <f t="shared" si="9"/>
        <v>110898</v>
      </c>
    </row>
    <row r="29" spans="1:21" s="177" customFormat="1" ht="15">
      <c r="A29" s="167">
        <v>4</v>
      </c>
      <c r="B29" s="330" t="s">
        <v>1335</v>
      </c>
      <c r="C29" s="176" t="s">
        <v>133</v>
      </c>
      <c r="D29" s="166">
        <v>59239</v>
      </c>
      <c r="E29" s="167">
        <f t="shared" si="5"/>
        <v>70494</v>
      </c>
      <c r="F29" s="166">
        <f t="shared" si="6"/>
        <v>5924</v>
      </c>
      <c r="G29" s="167">
        <v>0</v>
      </c>
      <c r="H29" s="166"/>
      <c r="I29" s="167"/>
      <c r="J29" s="166"/>
      <c r="K29" s="231">
        <f t="shared" si="7"/>
        <v>135657</v>
      </c>
      <c r="L29" s="171">
        <v>200</v>
      </c>
      <c r="M29" s="331">
        <v>25000</v>
      </c>
      <c r="N29" s="166"/>
      <c r="O29" s="167"/>
      <c r="P29" s="232"/>
      <c r="Q29" s="167"/>
      <c r="R29" s="167"/>
      <c r="S29" s="166"/>
      <c r="T29" s="172">
        <f t="shared" si="8"/>
        <v>25200</v>
      </c>
      <c r="U29" s="172">
        <f t="shared" si="9"/>
        <v>110457</v>
      </c>
    </row>
    <row r="30" spans="1:21" s="177" customFormat="1" ht="18" customHeight="1">
      <c r="A30" s="167">
        <v>5</v>
      </c>
      <c r="B30" s="330" t="s">
        <v>146</v>
      </c>
      <c r="C30" s="176" t="s">
        <v>147</v>
      </c>
      <c r="D30" s="166">
        <v>51387</v>
      </c>
      <c r="E30" s="167">
        <f t="shared" si="5"/>
        <v>61151</v>
      </c>
      <c r="F30" s="166">
        <f t="shared" si="6"/>
        <v>5139</v>
      </c>
      <c r="G30" s="167">
        <v>15000</v>
      </c>
      <c r="H30" s="166"/>
      <c r="I30" s="167"/>
      <c r="J30" s="166">
        <v>275</v>
      </c>
      <c r="K30" s="231">
        <f t="shared" si="7"/>
        <v>132952</v>
      </c>
      <c r="L30" s="171">
        <v>200</v>
      </c>
      <c r="M30" s="331">
        <v>20000</v>
      </c>
      <c r="N30" s="166"/>
      <c r="O30" s="167"/>
      <c r="P30" s="232"/>
      <c r="Q30" s="167"/>
      <c r="R30" s="167">
        <f>1911</f>
        <v>1911</v>
      </c>
      <c r="S30" s="166"/>
      <c r="T30" s="172">
        <f t="shared" si="8"/>
        <v>22111</v>
      </c>
      <c r="U30" s="172">
        <f t="shared" si="9"/>
        <v>110841</v>
      </c>
    </row>
    <row r="31" spans="1:21" s="177" customFormat="1" ht="18" customHeight="1">
      <c r="A31" s="167">
        <v>6</v>
      </c>
      <c r="B31" s="330" t="s">
        <v>904</v>
      </c>
      <c r="C31" s="176" t="s">
        <v>357</v>
      </c>
      <c r="D31" s="166">
        <v>56153</v>
      </c>
      <c r="E31" s="167">
        <f t="shared" si="5"/>
        <v>66822</v>
      </c>
      <c r="F31" s="166">
        <f t="shared" si="6"/>
        <v>5615</v>
      </c>
      <c r="G31" s="167">
        <v>15000</v>
      </c>
      <c r="H31" s="166"/>
      <c r="I31" s="167"/>
      <c r="J31" s="166"/>
      <c r="K31" s="231">
        <f t="shared" si="7"/>
        <v>143590</v>
      </c>
      <c r="L31" s="171">
        <v>200</v>
      </c>
      <c r="M31" s="331">
        <v>20000</v>
      </c>
      <c r="N31" s="166">
        <f>+F31</f>
        <v>5615</v>
      </c>
      <c r="O31" s="167">
        <v>42</v>
      </c>
      <c r="P31" s="232">
        <v>20</v>
      </c>
      <c r="Q31" s="167"/>
      <c r="R31" s="167"/>
      <c r="S31" s="166"/>
      <c r="T31" s="172">
        <f t="shared" si="8"/>
        <v>25877</v>
      </c>
      <c r="U31" s="172">
        <f t="shared" si="9"/>
        <v>117713</v>
      </c>
    </row>
    <row r="32" spans="1:21" s="177" customFormat="1" ht="40.5" customHeight="1">
      <c r="A32" s="167">
        <v>7</v>
      </c>
      <c r="B32" s="330" t="s">
        <v>1362</v>
      </c>
      <c r="C32" s="176" t="s">
        <v>151</v>
      </c>
      <c r="D32" s="166">
        <v>100000</v>
      </c>
      <c r="E32" s="167"/>
      <c r="F32" s="166"/>
      <c r="G32" s="167"/>
      <c r="H32" s="166"/>
      <c r="I32" s="167"/>
      <c r="J32" s="166"/>
      <c r="K32" s="231">
        <f t="shared" si="7"/>
        <v>100000</v>
      </c>
      <c r="L32" s="171">
        <v>200</v>
      </c>
      <c r="M32" s="331">
        <v>15000</v>
      </c>
      <c r="N32" s="166"/>
      <c r="O32" s="167"/>
      <c r="P32" s="232"/>
      <c r="Q32" s="167"/>
      <c r="R32" s="167"/>
      <c r="S32" s="166"/>
      <c r="T32" s="172">
        <f aca="true" t="shared" si="10" ref="T32:T37">SUM(L32:S32)</f>
        <v>15200</v>
      </c>
      <c r="U32" s="172">
        <f t="shared" si="9"/>
        <v>84800</v>
      </c>
    </row>
    <row r="33" spans="1:21" s="177" customFormat="1" ht="18" customHeight="1">
      <c r="A33" s="167">
        <v>8</v>
      </c>
      <c r="B33" s="330" t="s">
        <v>855</v>
      </c>
      <c r="C33" s="176" t="s">
        <v>134</v>
      </c>
      <c r="D33" s="166">
        <v>56153</v>
      </c>
      <c r="E33" s="167">
        <f>ROUND(D33*119%,0)</f>
        <v>66822</v>
      </c>
      <c r="F33" s="166">
        <f aca="true" t="shared" si="11" ref="F33:F38">ROUND(D33*10%,0)</f>
        <v>5615</v>
      </c>
      <c r="G33" s="167">
        <v>15000</v>
      </c>
      <c r="H33" s="166"/>
      <c r="I33" s="167"/>
      <c r="J33" s="166"/>
      <c r="K33" s="231">
        <f t="shared" si="7"/>
        <v>143590</v>
      </c>
      <c r="L33" s="171">
        <v>200</v>
      </c>
      <c r="M33" s="331">
        <v>20000</v>
      </c>
      <c r="N33" s="166"/>
      <c r="O33" s="167"/>
      <c r="P33" s="232"/>
      <c r="Q33" s="167"/>
      <c r="R33" s="167"/>
      <c r="S33" s="166"/>
      <c r="T33" s="172">
        <f t="shared" si="10"/>
        <v>20200</v>
      </c>
      <c r="U33" s="172">
        <f t="shared" si="9"/>
        <v>123390</v>
      </c>
    </row>
    <row r="34" spans="1:21" s="177" customFormat="1" ht="15">
      <c r="A34" s="167">
        <v>9</v>
      </c>
      <c r="B34" s="330" t="s">
        <v>1336</v>
      </c>
      <c r="C34" s="176" t="s">
        <v>136</v>
      </c>
      <c r="D34" s="166">
        <v>57837</v>
      </c>
      <c r="E34" s="167">
        <f aca="true" t="shared" si="12" ref="E34:E48">ROUND(D34*119%,0)</f>
        <v>68826</v>
      </c>
      <c r="F34" s="166">
        <f t="shared" si="11"/>
        <v>5784</v>
      </c>
      <c r="G34" s="167">
        <v>0</v>
      </c>
      <c r="H34" s="166"/>
      <c r="I34" s="167"/>
      <c r="J34" s="166"/>
      <c r="K34" s="231">
        <f t="shared" si="7"/>
        <v>132447</v>
      </c>
      <c r="L34" s="171">
        <v>200</v>
      </c>
      <c r="M34" s="331">
        <v>17000</v>
      </c>
      <c r="N34" s="166">
        <f>+F34</f>
        <v>5784</v>
      </c>
      <c r="O34" s="167">
        <v>42</v>
      </c>
      <c r="P34" s="232">
        <v>20</v>
      </c>
      <c r="Q34" s="167"/>
      <c r="R34" s="167"/>
      <c r="S34" s="166"/>
      <c r="T34" s="172">
        <f t="shared" si="10"/>
        <v>23046</v>
      </c>
      <c r="U34" s="172">
        <f t="shared" si="9"/>
        <v>109401</v>
      </c>
    </row>
    <row r="35" spans="1:21" s="177" customFormat="1" ht="15">
      <c r="A35" s="167">
        <v>10</v>
      </c>
      <c r="B35" s="330" t="s">
        <v>1337</v>
      </c>
      <c r="C35" s="176" t="s">
        <v>154</v>
      </c>
      <c r="D35" s="166">
        <v>56153</v>
      </c>
      <c r="E35" s="167">
        <f t="shared" si="12"/>
        <v>66822</v>
      </c>
      <c r="F35" s="166">
        <f t="shared" si="11"/>
        <v>5615</v>
      </c>
      <c r="G35" s="167">
        <v>15000</v>
      </c>
      <c r="H35" s="166"/>
      <c r="I35" s="167"/>
      <c r="J35" s="166"/>
      <c r="K35" s="231">
        <f t="shared" si="7"/>
        <v>143590</v>
      </c>
      <c r="L35" s="171">
        <v>200</v>
      </c>
      <c r="M35" s="331">
        <v>20000</v>
      </c>
      <c r="N35" s="166">
        <f>+F35</f>
        <v>5615</v>
      </c>
      <c r="O35" s="167">
        <v>42</v>
      </c>
      <c r="P35" s="232">
        <v>20</v>
      </c>
      <c r="Q35" s="167"/>
      <c r="R35" s="167"/>
      <c r="S35" s="166"/>
      <c r="T35" s="172">
        <f t="shared" si="10"/>
        <v>25877</v>
      </c>
      <c r="U35" s="172">
        <f t="shared" si="9"/>
        <v>117713</v>
      </c>
    </row>
    <row r="36" spans="1:21" s="177" customFormat="1" ht="26.25" customHeight="1">
      <c r="A36" s="167">
        <v>11</v>
      </c>
      <c r="B36" s="330" t="s">
        <v>1496</v>
      </c>
      <c r="C36" s="176" t="s">
        <v>124</v>
      </c>
      <c r="D36" s="166">
        <v>56153</v>
      </c>
      <c r="E36" s="167">
        <f t="shared" si="12"/>
        <v>66822</v>
      </c>
      <c r="F36" s="166">
        <f t="shared" si="11"/>
        <v>5615</v>
      </c>
      <c r="G36" s="167">
        <v>15000</v>
      </c>
      <c r="H36" s="166"/>
      <c r="I36" s="167"/>
      <c r="J36" s="166"/>
      <c r="K36" s="231">
        <f t="shared" si="7"/>
        <v>143590</v>
      </c>
      <c r="L36" s="171">
        <v>200</v>
      </c>
      <c r="M36" s="331">
        <v>20000</v>
      </c>
      <c r="N36" s="166">
        <f>+F36</f>
        <v>5615</v>
      </c>
      <c r="O36" s="167">
        <v>42</v>
      </c>
      <c r="P36" s="232">
        <v>20</v>
      </c>
      <c r="Q36" s="167"/>
      <c r="R36" s="167"/>
      <c r="S36" s="166"/>
      <c r="T36" s="172">
        <f t="shared" si="10"/>
        <v>25877</v>
      </c>
      <c r="U36" s="172">
        <f t="shared" si="9"/>
        <v>117713</v>
      </c>
    </row>
    <row r="37" spans="1:21" s="177" customFormat="1" ht="18" customHeight="1">
      <c r="A37" s="167">
        <v>12</v>
      </c>
      <c r="B37" s="330" t="s">
        <v>1119</v>
      </c>
      <c r="C37" s="176" t="s">
        <v>158</v>
      </c>
      <c r="D37" s="166">
        <v>56153</v>
      </c>
      <c r="E37" s="167">
        <f t="shared" si="12"/>
        <v>66822</v>
      </c>
      <c r="F37" s="166">
        <f t="shared" si="11"/>
        <v>5615</v>
      </c>
      <c r="G37" s="167">
        <v>0</v>
      </c>
      <c r="H37" s="166"/>
      <c r="I37" s="167"/>
      <c r="J37" s="166"/>
      <c r="K37" s="231">
        <f t="shared" si="7"/>
        <v>128590</v>
      </c>
      <c r="L37" s="171">
        <v>200</v>
      </c>
      <c r="M37" s="331">
        <v>18000</v>
      </c>
      <c r="N37" s="166"/>
      <c r="O37" s="167"/>
      <c r="P37" s="232"/>
      <c r="Q37" s="167"/>
      <c r="R37" s="167">
        <f>6933</f>
        <v>6933</v>
      </c>
      <c r="S37" s="166"/>
      <c r="T37" s="172">
        <f t="shared" si="10"/>
        <v>25133</v>
      </c>
      <c r="U37" s="172">
        <f t="shared" si="9"/>
        <v>103457</v>
      </c>
    </row>
    <row r="38" spans="1:21" s="177" customFormat="1" ht="18" customHeight="1">
      <c r="A38" s="167">
        <v>13</v>
      </c>
      <c r="B38" s="330" t="s">
        <v>339</v>
      </c>
      <c r="C38" s="176" t="s">
        <v>129</v>
      </c>
      <c r="D38" s="166">
        <f>ROUND(49890*3%,0)+49890</f>
        <v>51387</v>
      </c>
      <c r="E38" s="167">
        <f t="shared" si="12"/>
        <v>61151</v>
      </c>
      <c r="F38" s="166">
        <f t="shared" si="11"/>
        <v>5139</v>
      </c>
      <c r="G38" s="167">
        <v>15000</v>
      </c>
      <c r="H38" s="166"/>
      <c r="I38" s="167"/>
      <c r="J38" s="166"/>
      <c r="K38" s="231">
        <f t="shared" si="7"/>
        <v>132677</v>
      </c>
      <c r="L38" s="171">
        <v>200</v>
      </c>
      <c r="M38" s="331">
        <v>20000</v>
      </c>
      <c r="N38" s="166"/>
      <c r="O38" s="167"/>
      <c r="P38" s="232"/>
      <c r="Q38" s="167"/>
      <c r="R38" s="167"/>
      <c r="S38" s="166"/>
      <c r="T38" s="172">
        <f aca="true" t="shared" si="13" ref="T38:T45">SUM(L38:S38)</f>
        <v>20200</v>
      </c>
      <c r="U38" s="172">
        <f t="shared" si="9"/>
        <v>112477</v>
      </c>
    </row>
    <row r="39" spans="1:21" s="177" customFormat="1" ht="15">
      <c r="A39" s="167">
        <v>14</v>
      </c>
      <c r="B39" s="330" t="s">
        <v>1264</v>
      </c>
      <c r="C39" s="176" t="s">
        <v>150</v>
      </c>
      <c r="D39" s="166">
        <v>52224</v>
      </c>
      <c r="E39" s="167">
        <f t="shared" si="12"/>
        <v>62147</v>
      </c>
      <c r="F39" s="166">
        <f>ROUND(D39*10%,0)</f>
        <v>5222</v>
      </c>
      <c r="G39" s="167">
        <v>0</v>
      </c>
      <c r="H39" s="166"/>
      <c r="I39" s="167"/>
      <c r="J39" s="166"/>
      <c r="K39" s="231">
        <f t="shared" si="7"/>
        <v>119593</v>
      </c>
      <c r="L39" s="171">
        <v>200</v>
      </c>
      <c r="M39" s="331">
        <v>20000</v>
      </c>
      <c r="N39" s="166"/>
      <c r="O39" s="167"/>
      <c r="P39" s="232"/>
      <c r="Q39" s="167">
        <v>0</v>
      </c>
      <c r="R39" s="167"/>
      <c r="S39" s="166"/>
      <c r="T39" s="172">
        <f>SUM(L39:S39)</f>
        <v>20200</v>
      </c>
      <c r="U39" s="172">
        <f t="shared" si="9"/>
        <v>99393</v>
      </c>
    </row>
    <row r="40" spans="1:21" s="177" customFormat="1" ht="15">
      <c r="A40" s="167">
        <v>15</v>
      </c>
      <c r="B40" s="330" t="s">
        <v>1338</v>
      </c>
      <c r="C40" s="176" t="s">
        <v>137</v>
      </c>
      <c r="D40" s="166">
        <v>50703</v>
      </c>
      <c r="E40" s="167">
        <f t="shared" si="12"/>
        <v>60337</v>
      </c>
      <c r="F40" s="166">
        <f>ROUND(D40*10%,0)</f>
        <v>5070</v>
      </c>
      <c r="G40" s="167">
        <v>15000</v>
      </c>
      <c r="H40" s="166"/>
      <c r="I40" s="167"/>
      <c r="J40" s="166"/>
      <c r="K40" s="231">
        <f t="shared" si="7"/>
        <v>131110</v>
      </c>
      <c r="L40" s="171">
        <v>200</v>
      </c>
      <c r="M40" s="331">
        <v>15000</v>
      </c>
      <c r="N40" s="166">
        <f>+F40</f>
        <v>5070</v>
      </c>
      <c r="O40" s="167">
        <v>42</v>
      </c>
      <c r="P40" s="232">
        <v>20</v>
      </c>
      <c r="Q40" s="167">
        <v>0</v>
      </c>
      <c r="R40" s="167">
        <f>6928+2460+6758</f>
        <v>16146</v>
      </c>
      <c r="S40" s="166"/>
      <c r="T40" s="172">
        <f t="shared" si="13"/>
        <v>36478</v>
      </c>
      <c r="U40" s="172">
        <f t="shared" si="9"/>
        <v>94632</v>
      </c>
    </row>
    <row r="41" spans="1:21" s="177" customFormat="1" ht="15">
      <c r="A41" s="167">
        <v>16</v>
      </c>
      <c r="B41" s="330" t="s">
        <v>201</v>
      </c>
      <c r="C41" s="176" t="s">
        <v>149</v>
      </c>
      <c r="D41" s="166">
        <v>50703</v>
      </c>
      <c r="E41" s="167">
        <f t="shared" si="12"/>
        <v>60337</v>
      </c>
      <c r="F41" s="166">
        <f>ROUND(D41*10%,0)</f>
        <v>5070</v>
      </c>
      <c r="G41" s="167">
        <v>0</v>
      </c>
      <c r="H41" s="166"/>
      <c r="I41" s="167"/>
      <c r="J41" s="166"/>
      <c r="K41" s="231">
        <f t="shared" si="7"/>
        <v>116110</v>
      </c>
      <c r="L41" s="171">
        <v>200</v>
      </c>
      <c r="M41" s="331">
        <v>13000</v>
      </c>
      <c r="N41" s="166"/>
      <c r="O41" s="167"/>
      <c r="P41" s="232"/>
      <c r="Q41" s="167">
        <v>0</v>
      </c>
      <c r="R41" s="167"/>
      <c r="S41" s="166"/>
      <c r="T41" s="172">
        <f t="shared" si="13"/>
        <v>13200</v>
      </c>
      <c r="U41" s="172">
        <f t="shared" si="9"/>
        <v>102910</v>
      </c>
    </row>
    <row r="42" spans="1:24" s="177" customFormat="1" ht="15">
      <c r="A42" s="167">
        <v>17</v>
      </c>
      <c r="B42" s="330" t="s">
        <v>1265</v>
      </c>
      <c r="C42" s="176" t="s">
        <v>129</v>
      </c>
      <c r="D42" s="166">
        <v>52224</v>
      </c>
      <c r="E42" s="167">
        <f t="shared" si="12"/>
        <v>62147</v>
      </c>
      <c r="F42" s="166">
        <f aca="true" t="shared" si="14" ref="F42:F48">ROUND(D42*10%,0)</f>
        <v>5222</v>
      </c>
      <c r="G42" s="167">
        <v>0</v>
      </c>
      <c r="H42" s="166"/>
      <c r="I42" s="167"/>
      <c r="J42" s="166"/>
      <c r="K42" s="231">
        <f t="shared" si="7"/>
        <v>119593</v>
      </c>
      <c r="L42" s="171">
        <v>200</v>
      </c>
      <c r="M42" s="331">
        <v>12000</v>
      </c>
      <c r="N42" s="166"/>
      <c r="O42" s="167"/>
      <c r="P42" s="232"/>
      <c r="Q42" s="167">
        <v>0</v>
      </c>
      <c r="R42" s="167">
        <f>1086+574+355+370+385+401+420+439+461+484+510+538+2470</f>
        <v>8493</v>
      </c>
      <c r="S42" s="166"/>
      <c r="T42" s="172">
        <f t="shared" si="13"/>
        <v>20693</v>
      </c>
      <c r="U42" s="172">
        <f t="shared" si="9"/>
        <v>98900</v>
      </c>
      <c r="X42" s="240"/>
    </row>
    <row r="43" spans="1:21" s="177" customFormat="1" ht="27">
      <c r="A43" s="167">
        <v>18</v>
      </c>
      <c r="B43" s="330" t="s">
        <v>696</v>
      </c>
      <c r="C43" s="176" t="s">
        <v>693</v>
      </c>
      <c r="D43" s="166">
        <v>47792</v>
      </c>
      <c r="E43" s="167">
        <f t="shared" si="12"/>
        <v>56872</v>
      </c>
      <c r="F43" s="166">
        <f t="shared" si="14"/>
        <v>4779</v>
      </c>
      <c r="G43" s="167">
        <v>15000</v>
      </c>
      <c r="H43" s="166"/>
      <c r="I43" s="167"/>
      <c r="J43" s="166"/>
      <c r="K43" s="231">
        <f t="shared" si="7"/>
        <v>124443</v>
      </c>
      <c r="L43" s="171">
        <v>200</v>
      </c>
      <c r="M43" s="167">
        <v>12000</v>
      </c>
      <c r="N43" s="166">
        <v>4779</v>
      </c>
      <c r="O43" s="167">
        <v>42</v>
      </c>
      <c r="P43" s="232">
        <v>20</v>
      </c>
      <c r="Q43" s="167"/>
      <c r="R43" s="167"/>
      <c r="S43" s="166"/>
      <c r="T43" s="172">
        <f t="shared" si="13"/>
        <v>17041</v>
      </c>
      <c r="U43" s="172">
        <f t="shared" si="9"/>
        <v>107402</v>
      </c>
    </row>
    <row r="44" spans="1:22" s="177" customFormat="1" ht="15">
      <c r="A44" s="167">
        <v>19</v>
      </c>
      <c r="B44" s="323" t="s">
        <v>156</v>
      </c>
      <c r="C44" s="339" t="s">
        <v>128</v>
      </c>
      <c r="D44" s="166">
        <v>49226</v>
      </c>
      <c r="E44" s="167">
        <f t="shared" si="12"/>
        <v>58579</v>
      </c>
      <c r="F44" s="166">
        <f t="shared" si="14"/>
        <v>4923</v>
      </c>
      <c r="G44" s="167">
        <v>15000</v>
      </c>
      <c r="H44" s="166"/>
      <c r="I44" s="167"/>
      <c r="J44" s="166"/>
      <c r="K44" s="231">
        <f t="shared" si="7"/>
        <v>127728</v>
      </c>
      <c r="L44" s="171">
        <v>200</v>
      </c>
      <c r="M44" s="331">
        <v>16000</v>
      </c>
      <c r="N44" s="166">
        <v>4923</v>
      </c>
      <c r="O44" s="167">
        <v>42</v>
      </c>
      <c r="P44" s="232">
        <v>20</v>
      </c>
      <c r="Q44" s="167">
        <v>0</v>
      </c>
      <c r="R44" s="167"/>
      <c r="S44" s="166"/>
      <c r="T44" s="172">
        <f t="shared" si="13"/>
        <v>21185</v>
      </c>
      <c r="U44" s="172">
        <f t="shared" si="9"/>
        <v>106543</v>
      </c>
      <c r="V44" s="240"/>
    </row>
    <row r="45" spans="1:22" s="177" customFormat="1" ht="17.25" customHeight="1">
      <c r="A45" s="167">
        <v>20</v>
      </c>
      <c r="B45" s="323" t="s">
        <v>856</v>
      </c>
      <c r="C45" s="339" t="s">
        <v>129</v>
      </c>
      <c r="D45" s="166">
        <v>50703</v>
      </c>
      <c r="E45" s="167">
        <f t="shared" si="12"/>
        <v>60337</v>
      </c>
      <c r="F45" s="166">
        <f t="shared" si="14"/>
        <v>5070</v>
      </c>
      <c r="G45" s="167">
        <v>0</v>
      </c>
      <c r="H45" s="166"/>
      <c r="I45" s="167"/>
      <c r="J45" s="166"/>
      <c r="K45" s="231">
        <f t="shared" si="7"/>
        <v>116110</v>
      </c>
      <c r="L45" s="171">
        <v>200</v>
      </c>
      <c r="M45" s="331">
        <v>10000</v>
      </c>
      <c r="N45" s="166">
        <v>5070</v>
      </c>
      <c r="O45" s="167">
        <v>42</v>
      </c>
      <c r="P45" s="232">
        <v>20</v>
      </c>
      <c r="Q45" s="167"/>
      <c r="R45" s="167">
        <f>4660+14656</f>
        <v>19316</v>
      </c>
      <c r="S45" s="166"/>
      <c r="T45" s="172">
        <f t="shared" si="13"/>
        <v>34648</v>
      </c>
      <c r="U45" s="172">
        <f t="shared" si="9"/>
        <v>81462</v>
      </c>
      <c r="V45" s="240"/>
    </row>
    <row r="46" spans="1:22" s="177" customFormat="1" ht="15">
      <c r="A46" s="167">
        <v>21</v>
      </c>
      <c r="B46" s="323" t="s">
        <v>1266</v>
      </c>
      <c r="C46" s="339" t="s">
        <v>135</v>
      </c>
      <c r="D46" s="166">
        <v>49226</v>
      </c>
      <c r="E46" s="167">
        <f t="shared" si="12"/>
        <v>58579</v>
      </c>
      <c r="F46" s="166">
        <f t="shared" si="14"/>
        <v>4923</v>
      </c>
      <c r="G46" s="167">
        <v>0</v>
      </c>
      <c r="H46" s="166"/>
      <c r="I46" s="167"/>
      <c r="J46" s="166"/>
      <c r="K46" s="231">
        <f t="shared" si="7"/>
        <v>112728</v>
      </c>
      <c r="L46" s="171">
        <v>200</v>
      </c>
      <c r="M46" s="331">
        <v>12000</v>
      </c>
      <c r="N46" s="166"/>
      <c r="O46" s="167"/>
      <c r="P46" s="232"/>
      <c r="Q46" s="167">
        <v>0</v>
      </c>
      <c r="R46" s="167"/>
      <c r="S46" s="166"/>
      <c r="T46" s="172">
        <f>SUM(L46:S46)</f>
        <v>12200</v>
      </c>
      <c r="U46" s="172">
        <f t="shared" si="9"/>
        <v>100528</v>
      </c>
      <c r="V46" s="240"/>
    </row>
    <row r="47" spans="1:24" s="177" customFormat="1" ht="18" customHeight="1">
      <c r="A47" s="167">
        <v>22</v>
      </c>
      <c r="B47" s="340" t="s">
        <v>157</v>
      </c>
      <c r="C47" s="339" t="s">
        <v>131</v>
      </c>
      <c r="D47" s="158">
        <v>49226</v>
      </c>
      <c r="E47" s="167">
        <f t="shared" si="12"/>
        <v>58579</v>
      </c>
      <c r="F47" s="158">
        <f t="shared" si="14"/>
        <v>4923</v>
      </c>
      <c r="G47" s="316">
        <v>0</v>
      </c>
      <c r="H47" s="158"/>
      <c r="I47" s="316"/>
      <c r="J47" s="158"/>
      <c r="K47" s="231">
        <f t="shared" si="7"/>
        <v>112728</v>
      </c>
      <c r="L47" s="324">
        <v>200</v>
      </c>
      <c r="M47" s="341">
        <v>14000</v>
      </c>
      <c r="N47" s="158"/>
      <c r="O47" s="316"/>
      <c r="P47" s="230"/>
      <c r="Q47" s="316"/>
      <c r="R47" s="316"/>
      <c r="S47" s="158"/>
      <c r="T47" s="342">
        <f>SUM(L47:S47)</f>
        <v>14200</v>
      </c>
      <c r="U47" s="172">
        <f t="shared" si="9"/>
        <v>98528</v>
      </c>
      <c r="W47" s="240" t="e">
        <f>#REF!+K47</f>
        <v>#REF!</v>
      </c>
      <c r="X47" s="240" t="e">
        <f>W47-#REF!</f>
        <v>#REF!</v>
      </c>
    </row>
    <row r="48" spans="1:24" s="177" customFormat="1" ht="18" customHeight="1">
      <c r="A48" s="167">
        <v>23</v>
      </c>
      <c r="B48" s="323" t="s">
        <v>1149</v>
      </c>
      <c r="C48" s="339" t="s">
        <v>148</v>
      </c>
      <c r="D48" s="166">
        <v>52224</v>
      </c>
      <c r="E48" s="167">
        <f t="shared" si="12"/>
        <v>62147</v>
      </c>
      <c r="F48" s="166">
        <f t="shared" si="14"/>
        <v>5222</v>
      </c>
      <c r="G48" s="167"/>
      <c r="H48" s="166"/>
      <c r="I48" s="167"/>
      <c r="J48" s="166">
        <v>1000</v>
      </c>
      <c r="K48" s="231">
        <f t="shared" si="7"/>
        <v>120593</v>
      </c>
      <c r="L48" s="324">
        <v>200</v>
      </c>
      <c r="M48" s="341">
        <v>10000</v>
      </c>
      <c r="N48" s="166"/>
      <c r="O48" s="167"/>
      <c r="P48" s="232"/>
      <c r="Q48" s="167"/>
      <c r="R48" s="167"/>
      <c r="S48" s="339">
        <v>19315</v>
      </c>
      <c r="T48" s="342">
        <f>SUM(L48:S48)</f>
        <v>29515</v>
      </c>
      <c r="U48" s="172">
        <f t="shared" si="9"/>
        <v>91078</v>
      </c>
      <c r="W48" s="240" t="e">
        <f>#REF!+K48</f>
        <v>#REF!</v>
      </c>
      <c r="X48" s="240" t="e">
        <f>W48-#REF!</f>
        <v>#REF!</v>
      </c>
    </row>
    <row r="49" spans="1:21" s="177" customFormat="1" ht="18" customHeight="1">
      <c r="A49" s="233">
        <v>24</v>
      </c>
      <c r="B49" s="234" t="s">
        <v>857</v>
      </c>
      <c r="C49" s="176"/>
      <c r="D49" s="166"/>
      <c r="E49" s="167"/>
      <c r="F49" s="166"/>
      <c r="G49" s="167"/>
      <c r="H49" s="166"/>
      <c r="I49" s="167"/>
      <c r="J49" s="166"/>
      <c r="K49" s="231"/>
      <c r="L49" s="171"/>
      <c r="M49" s="167"/>
      <c r="N49" s="166"/>
      <c r="O49" s="167"/>
      <c r="P49" s="232"/>
      <c r="Q49" s="167"/>
      <c r="R49" s="167"/>
      <c r="S49" s="166"/>
      <c r="T49" s="172"/>
      <c r="U49" s="172"/>
    </row>
    <row r="50" spans="1:21" s="177" customFormat="1" ht="18" customHeight="1">
      <c r="A50" s="233" t="s">
        <v>155</v>
      </c>
      <c r="B50" s="234" t="s">
        <v>242</v>
      </c>
      <c r="C50" s="176"/>
      <c r="D50" s="166"/>
      <c r="E50" s="167"/>
      <c r="F50" s="166"/>
      <c r="G50" s="167"/>
      <c r="H50" s="166"/>
      <c r="I50" s="167"/>
      <c r="J50" s="166"/>
      <c r="K50" s="231"/>
      <c r="L50" s="171"/>
      <c r="M50" s="167"/>
      <c r="N50" s="166"/>
      <c r="O50" s="167"/>
      <c r="P50" s="232"/>
      <c r="Q50" s="167"/>
      <c r="R50" s="167"/>
      <c r="S50" s="166"/>
      <c r="T50" s="172"/>
      <c r="U50" s="172"/>
    </row>
    <row r="51" spans="1:21" s="177" customFormat="1" ht="18" customHeight="1">
      <c r="A51" s="325">
        <v>1</v>
      </c>
      <c r="B51" s="323" t="s">
        <v>1027</v>
      </c>
      <c r="C51" s="339" t="s">
        <v>150</v>
      </c>
      <c r="D51" s="166">
        <v>46400</v>
      </c>
      <c r="E51" s="167">
        <f>ROUND(D51*119%,0)</f>
        <v>55216</v>
      </c>
      <c r="F51" s="166">
        <f>ROUND(D51*10%,0)</f>
        <v>4640</v>
      </c>
      <c r="G51" s="343"/>
      <c r="H51" s="166"/>
      <c r="I51" s="167"/>
      <c r="J51" s="166"/>
      <c r="K51" s="231">
        <f aca="true" t="shared" si="15" ref="K51:K114">SUM(D51:J51)</f>
        <v>106256</v>
      </c>
      <c r="L51" s="317">
        <v>200</v>
      </c>
      <c r="M51" s="333">
        <v>6000</v>
      </c>
      <c r="N51" s="166"/>
      <c r="O51" s="167"/>
      <c r="P51" s="232"/>
      <c r="Q51" s="167"/>
      <c r="R51" s="167"/>
      <c r="S51" s="166"/>
      <c r="T51" s="172">
        <f>SUM(L51:S51)</f>
        <v>6200</v>
      </c>
      <c r="U51" s="172">
        <f aca="true" t="shared" si="16" ref="U51:U115">K51-T51</f>
        <v>100056</v>
      </c>
    </row>
    <row r="52" spans="1:21" s="177" customFormat="1" ht="18" customHeight="1">
      <c r="A52" s="167">
        <v>2</v>
      </c>
      <c r="B52" s="330" t="s">
        <v>352</v>
      </c>
      <c r="C52" s="176" t="s">
        <v>124</v>
      </c>
      <c r="D52" s="343">
        <v>32670</v>
      </c>
      <c r="E52" s="167">
        <f aca="true" t="shared" si="17" ref="E52:E93">ROUND(D52*119%,0)</f>
        <v>38877</v>
      </c>
      <c r="F52" s="343">
        <f>ROUND(D52*10%,0)</f>
        <v>3267</v>
      </c>
      <c r="G52" s="343">
        <v>0</v>
      </c>
      <c r="H52" s="166"/>
      <c r="I52" s="167"/>
      <c r="J52" s="166">
        <v>750</v>
      </c>
      <c r="K52" s="231">
        <f t="shared" si="15"/>
        <v>75564</v>
      </c>
      <c r="L52" s="171">
        <v>200</v>
      </c>
      <c r="M52" s="331">
        <v>5000</v>
      </c>
      <c r="N52" s="166">
        <f>+F52</f>
        <v>3267</v>
      </c>
      <c r="O52" s="167">
        <v>42</v>
      </c>
      <c r="P52" s="232">
        <v>20</v>
      </c>
      <c r="Q52" s="167"/>
      <c r="R52" s="167"/>
      <c r="S52" s="166"/>
      <c r="T52" s="172">
        <f>SUM(L52:S52)</f>
        <v>8529</v>
      </c>
      <c r="U52" s="172">
        <f t="shared" si="16"/>
        <v>67035</v>
      </c>
    </row>
    <row r="53" spans="1:21" s="177" customFormat="1" ht="18" customHeight="1">
      <c r="A53" s="325">
        <v>3</v>
      </c>
      <c r="B53" s="323" t="s">
        <v>950</v>
      </c>
      <c r="C53" s="176" t="s">
        <v>124</v>
      </c>
      <c r="D53" s="166">
        <f>37400+9000</f>
        <v>46400</v>
      </c>
      <c r="E53" s="167">
        <f t="shared" si="17"/>
        <v>55216</v>
      </c>
      <c r="F53" s="166">
        <f aca="true" t="shared" si="18" ref="F53:F68">ROUND(D53*10%,0)</f>
        <v>4640</v>
      </c>
      <c r="G53" s="167">
        <v>10000</v>
      </c>
      <c r="H53" s="166"/>
      <c r="I53" s="167"/>
      <c r="J53" s="166"/>
      <c r="K53" s="231">
        <f t="shared" si="15"/>
        <v>116256</v>
      </c>
      <c r="L53" s="171">
        <v>200</v>
      </c>
      <c r="M53" s="331">
        <v>8000</v>
      </c>
      <c r="N53" s="166"/>
      <c r="O53" s="167"/>
      <c r="P53" s="232"/>
      <c r="Q53" s="167"/>
      <c r="R53" s="167"/>
      <c r="S53" s="166"/>
      <c r="T53" s="172">
        <f aca="true" t="shared" si="19" ref="T53:T69">SUM(L53:S53)</f>
        <v>8200</v>
      </c>
      <c r="U53" s="172">
        <f t="shared" si="16"/>
        <v>108056</v>
      </c>
    </row>
    <row r="54" spans="1:21" s="177" customFormat="1" ht="18" customHeight="1">
      <c r="A54" s="167">
        <v>4</v>
      </c>
      <c r="B54" s="330" t="s">
        <v>99</v>
      </c>
      <c r="C54" s="176" t="s">
        <v>124</v>
      </c>
      <c r="D54" s="344">
        <v>31890</v>
      </c>
      <c r="E54" s="167">
        <f t="shared" si="17"/>
        <v>37949</v>
      </c>
      <c r="F54" s="343">
        <f t="shared" si="18"/>
        <v>3189</v>
      </c>
      <c r="G54" s="343">
        <v>0</v>
      </c>
      <c r="H54" s="166"/>
      <c r="I54" s="167"/>
      <c r="J54" s="166"/>
      <c r="K54" s="231">
        <f t="shared" si="15"/>
        <v>73028</v>
      </c>
      <c r="L54" s="171">
        <v>200</v>
      </c>
      <c r="M54" s="331">
        <v>5000</v>
      </c>
      <c r="N54" s="166">
        <f>+F54</f>
        <v>3189</v>
      </c>
      <c r="O54" s="167">
        <v>42</v>
      </c>
      <c r="P54" s="232">
        <v>20</v>
      </c>
      <c r="Q54" s="167"/>
      <c r="R54" s="167"/>
      <c r="S54" s="166"/>
      <c r="T54" s="172">
        <f t="shared" si="19"/>
        <v>8451</v>
      </c>
      <c r="U54" s="172">
        <f t="shared" si="16"/>
        <v>64577</v>
      </c>
    </row>
    <row r="55" spans="1:21" s="177" customFormat="1" ht="15">
      <c r="A55" s="325">
        <v>5</v>
      </c>
      <c r="B55" s="330" t="s">
        <v>1267</v>
      </c>
      <c r="C55" s="176" t="s">
        <v>147</v>
      </c>
      <c r="D55" s="166">
        <v>52224</v>
      </c>
      <c r="E55" s="167">
        <f t="shared" si="17"/>
        <v>62147</v>
      </c>
      <c r="F55" s="166">
        <f t="shared" si="18"/>
        <v>5222</v>
      </c>
      <c r="G55" s="167">
        <v>10000</v>
      </c>
      <c r="H55" s="166"/>
      <c r="I55" s="167"/>
      <c r="J55" s="166"/>
      <c r="K55" s="231">
        <f t="shared" si="15"/>
        <v>129593</v>
      </c>
      <c r="L55" s="171">
        <v>200</v>
      </c>
      <c r="M55" s="331">
        <v>15000</v>
      </c>
      <c r="N55" s="166">
        <f>+F55</f>
        <v>5222</v>
      </c>
      <c r="O55" s="167"/>
      <c r="P55" s="232"/>
      <c r="Q55" s="167">
        <v>0</v>
      </c>
      <c r="R55" s="167"/>
      <c r="S55" s="166"/>
      <c r="T55" s="172">
        <f t="shared" si="19"/>
        <v>20422</v>
      </c>
      <c r="U55" s="172">
        <f t="shared" si="16"/>
        <v>109171</v>
      </c>
    </row>
    <row r="56" spans="1:21" s="177" customFormat="1" ht="15">
      <c r="A56" s="167">
        <v>6</v>
      </c>
      <c r="B56" s="330" t="s">
        <v>1339</v>
      </c>
      <c r="C56" s="176" t="s">
        <v>147</v>
      </c>
      <c r="D56" s="344">
        <v>38526</v>
      </c>
      <c r="E56" s="167">
        <f t="shared" si="17"/>
        <v>45846</v>
      </c>
      <c r="F56" s="343">
        <f t="shared" si="18"/>
        <v>3853</v>
      </c>
      <c r="G56" s="343">
        <v>0</v>
      </c>
      <c r="H56" s="166"/>
      <c r="I56" s="167"/>
      <c r="J56" s="166"/>
      <c r="K56" s="231">
        <f t="shared" si="15"/>
        <v>88225</v>
      </c>
      <c r="L56" s="171">
        <v>200</v>
      </c>
      <c r="M56" s="331">
        <v>6500</v>
      </c>
      <c r="N56" s="166">
        <f>+F56</f>
        <v>3853</v>
      </c>
      <c r="O56" s="167">
        <v>42</v>
      </c>
      <c r="P56" s="232">
        <v>20</v>
      </c>
      <c r="Q56" s="167"/>
      <c r="R56" s="167"/>
      <c r="S56" s="166"/>
      <c r="T56" s="172">
        <f t="shared" si="19"/>
        <v>10615</v>
      </c>
      <c r="U56" s="172">
        <f t="shared" si="16"/>
        <v>77610</v>
      </c>
    </row>
    <row r="57" spans="1:21" s="177" customFormat="1" ht="30" customHeight="1">
      <c r="A57" s="325">
        <v>7</v>
      </c>
      <c r="B57" s="323" t="s">
        <v>1495</v>
      </c>
      <c r="C57" s="339" t="s">
        <v>128</v>
      </c>
      <c r="D57" s="166">
        <v>47792</v>
      </c>
      <c r="E57" s="167">
        <f t="shared" si="17"/>
        <v>56872</v>
      </c>
      <c r="F57" s="166">
        <f t="shared" si="18"/>
        <v>4779</v>
      </c>
      <c r="G57" s="167">
        <v>10000</v>
      </c>
      <c r="H57" s="166"/>
      <c r="I57" s="167"/>
      <c r="J57" s="166"/>
      <c r="K57" s="231">
        <f t="shared" si="15"/>
        <v>119443</v>
      </c>
      <c r="L57" s="171">
        <v>200</v>
      </c>
      <c r="M57" s="331">
        <v>9000</v>
      </c>
      <c r="N57" s="166">
        <f>+F57</f>
        <v>4779</v>
      </c>
      <c r="O57" s="167">
        <v>42</v>
      </c>
      <c r="P57" s="232">
        <v>20</v>
      </c>
      <c r="Q57" s="167"/>
      <c r="R57" s="167"/>
      <c r="S57" s="166"/>
      <c r="T57" s="172">
        <f t="shared" si="19"/>
        <v>14041</v>
      </c>
      <c r="U57" s="172">
        <f t="shared" si="16"/>
        <v>105402</v>
      </c>
    </row>
    <row r="58" spans="1:22" s="177" customFormat="1" ht="15">
      <c r="A58" s="167">
        <v>8</v>
      </c>
      <c r="B58" s="345" t="s">
        <v>1340</v>
      </c>
      <c r="C58" s="346" t="s">
        <v>357</v>
      </c>
      <c r="D58" s="270">
        <v>49226</v>
      </c>
      <c r="E58" s="167">
        <f t="shared" si="17"/>
        <v>58579</v>
      </c>
      <c r="F58" s="166">
        <f t="shared" si="18"/>
        <v>4923</v>
      </c>
      <c r="G58" s="271">
        <v>15000</v>
      </c>
      <c r="H58" s="270"/>
      <c r="I58" s="325"/>
      <c r="J58" s="347"/>
      <c r="K58" s="231">
        <f t="shared" si="15"/>
        <v>127728</v>
      </c>
      <c r="L58" s="348">
        <v>200</v>
      </c>
      <c r="M58" s="341">
        <v>30000</v>
      </c>
      <c r="N58" s="270"/>
      <c r="O58" s="325"/>
      <c r="P58" s="237"/>
      <c r="Q58" s="325"/>
      <c r="R58" s="325"/>
      <c r="S58" s="270"/>
      <c r="T58" s="342">
        <f t="shared" si="19"/>
        <v>30200</v>
      </c>
      <c r="U58" s="172">
        <f t="shared" si="16"/>
        <v>97528</v>
      </c>
      <c r="V58" s="240"/>
    </row>
    <row r="59" spans="1:21" s="346" customFormat="1" ht="18" customHeight="1">
      <c r="A59" s="325">
        <v>9</v>
      </c>
      <c r="B59" s="345" t="s">
        <v>200</v>
      </c>
      <c r="C59" s="346" t="s">
        <v>39</v>
      </c>
      <c r="D59" s="343">
        <v>26780</v>
      </c>
      <c r="E59" s="167">
        <f t="shared" si="17"/>
        <v>31868</v>
      </c>
      <c r="F59" s="343">
        <f t="shared" si="18"/>
        <v>2678</v>
      </c>
      <c r="G59" s="343">
        <v>0</v>
      </c>
      <c r="H59" s="343"/>
      <c r="I59" s="343"/>
      <c r="K59" s="231">
        <f t="shared" si="15"/>
        <v>61326</v>
      </c>
      <c r="L59" s="349">
        <v>200</v>
      </c>
      <c r="M59" s="350">
        <v>1000</v>
      </c>
      <c r="N59" s="343">
        <f>+F59</f>
        <v>2678</v>
      </c>
      <c r="O59" s="167">
        <v>42</v>
      </c>
      <c r="P59" s="343">
        <v>20</v>
      </c>
      <c r="Q59" s="343"/>
      <c r="R59" s="343"/>
      <c r="S59" s="343"/>
      <c r="T59" s="351">
        <f t="shared" si="19"/>
        <v>3940</v>
      </c>
      <c r="U59" s="172">
        <f t="shared" si="16"/>
        <v>57386</v>
      </c>
    </row>
    <row r="60" spans="1:23" s="177" customFormat="1" ht="15">
      <c r="A60" s="167">
        <v>10</v>
      </c>
      <c r="B60" s="330" t="s">
        <v>1341</v>
      </c>
      <c r="C60" s="176" t="s">
        <v>154</v>
      </c>
      <c r="D60" s="166">
        <v>46400</v>
      </c>
      <c r="E60" s="167">
        <f t="shared" si="17"/>
        <v>55216</v>
      </c>
      <c r="F60" s="166">
        <f t="shared" si="18"/>
        <v>4640</v>
      </c>
      <c r="G60" s="167">
        <v>0</v>
      </c>
      <c r="H60" s="166"/>
      <c r="I60" s="167"/>
      <c r="J60" s="166"/>
      <c r="K60" s="231">
        <f t="shared" si="15"/>
        <v>106256</v>
      </c>
      <c r="L60" s="171">
        <v>200</v>
      </c>
      <c r="M60" s="331">
        <v>10000</v>
      </c>
      <c r="N60" s="166"/>
      <c r="O60" s="167"/>
      <c r="P60" s="232"/>
      <c r="Q60" s="167"/>
      <c r="R60" s="167"/>
      <c r="S60" s="166"/>
      <c r="T60" s="172">
        <f t="shared" si="19"/>
        <v>10200</v>
      </c>
      <c r="U60" s="172">
        <f t="shared" si="16"/>
        <v>96056</v>
      </c>
      <c r="W60" s="240"/>
    </row>
    <row r="61" spans="1:21" s="177" customFormat="1" ht="18" customHeight="1">
      <c r="A61" s="325">
        <v>11</v>
      </c>
      <c r="B61" s="330" t="s">
        <v>587</v>
      </c>
      <c r="C61" s="176" t="s">
        <v>132</v>
      </c>
      <c r="D61" s="166">
        <v>31890</v>
      </c>
      <c r="E61" s="167">
        <f t="shared" si="17"/>
        <v>37949</v>
      </c>
      <c r="F61" s="166">
        <f t="shared" si="18"/>
        <v>3189</v>
      </c>
      <c r="G61" s="167">
        <v>10000</v>
      </c>
      <c r="H61" s="166"/>
      <c r="I61" s="167"/>
      <c r="J61" s="166"/>
      <c r="K61" s="231">
        <f t="shared" si="15"/>
        <v>83028</v>
      </c>
      <c r="L61" s="171">
        <v>200</v>
      </c>
      <c r="M61" s="331">
        <v>9000</v>
      </c>
      <c r="N61" s="166">
        <f>+F61</f>
        <v>3189</v>
      </c>
      <c r="O61" s="167"/>
      <c r="P61" s="232"/>
      <c r="Q61" s="167"/>
      <c r="R61" s="167"/>
      <c r="S61" s="166"/>
      <c r="T61" s="172">
        <f t="shared" si="19"/>
        <v>12389</v>
      </c>
      <c r="U61" s="172">
        <f t="shared" si="16"/>
        <v>70639</v>
      </c>
    </row>
    <row r="62" spans="1:23" s="177" customFormat="1" ht="15">
      <c r="A62" s="167">
        <v>12</v>
      </c>
      <c r="B62" s="330" t="s">
        <v>1268</v>
      </c>
      <c r="C62" s="176" t="s">
        <v>158</v>
      </c>
      <c r="D62" s="166">
        <v>49226</v>
      </c>
      <c r="E62" s="167">
        <f t="shared" si="17"/>
        <v>58579</v>
      </c>
      <c r="F62" s="166">
        <f t="shared" si="18"/>
        <v>4923</v>
      </c>
      <c r="G62" s="167">
        <v>0</v>
      </c>
      <c r="H62" s="166"/>
      <c r="I62" s="167"/>
      <c r="J62" s="166"/>
      <c r="K62" s="231">
        <f t="shared" si="15"/>
        <v>112728</v>
      </c>
      <c r="L62" s="171">
        <v>200</v>
      </c>
      <c r="M62" s="331">
        <v>9000</v>
      </c>
      <c r="N62" s="166"/>
      <c r="O62" s="167"/>
      <c r="P62" s="232"/>
      <c r="Q62" s="167">
        <v>0</v>
      </c>
      <c r="R62" s="167"/>
      <c r="S62" s="166"/>
      <c r="T62" s="172">
        <f t="shared" si="19"/>
        <v>9200</v>
      </c>
      <c r="U62" s="172">
        <f t="shared" si="16"/>
        <v>103528</v>
      </c>
      <c r="W62" s="240"/>
    </row>
    <row r="63" spans="1:21" s="177" customFormat="1" ht="18" customHeight="1">
      <c r="A63" s="325">
        <v>13</v>
      </c>
      <c r="B63" s="330" t="s">
        <v>1028</v>
      </c>
      <c r="C63" s="176" t="s">
        <v>158</v>
      </c>
      <c r="D63" s="166">
        <v>50703</v>
      </c>
      <c r="E63" s="167">
        <f t="shared" si="17"/>
        <v>60337</v>
      </c>
      <c r="F63" s="166">
        <f>ROUND(D63*10%,0)</f>
        <v>5070</v>
      </c>
      <c r="G63" s="167">
        <v>0</v>
      </c>
      <c r="H63" s="166"/>
      <c r="I63" s="167"/>
      <c r="J63" s="166"/>
      <c r="K63" s="231">
        <f t="shared" si="15"/>
        <v>116110</v>
      </c>
      <c r="L63" s="171">
        <v>200</v>
      </c>
      <c r="M63" s="331">
        <v>12000</v>
      </c>
      <c r="N63" s="166"/>
      <c r="O63" s="167"/>
      <c r="P63" s="232"/>
      <c r="Q63" s="167"/>
      <c r="R63" s="167"/>
      <c r="S63" s="166"/>
      <c r="T63" s="172">
        <f t="shared" si="19"/>
        <v>12200</v>
      </c>
      <c r="U63" s="172">
        <f t="shared" si="16"/>
        <v>103910</v>
      </c>
    </row>
    <row r="64" spans="1:22" s="177" customFormat="1" ht="18" customHeight="1">
      <c r="A64" s="167">
        <v>14</v>
      </c>
      <c r="B64" s="330" t="s">
        <v>951</v>
      </c>
      <c r="C64" s="176" t="s">
        <v>133</v>
      </c>
      <c r="D64" s="166">
        <v>50703</v>
      </c>
      <c r="E64" s="167">
        <f t="shared" si="17"/>
        <v>60337</v>
      </c>
      <c r="F64" s="166">
        <f t="shared" si="18"/>
        <v>5070</v>
      </c>
      <c r="G64" s="167">
        <v>0</v>
      </c>
      <c r="H64" s="166"/>
      <c r="I64" s="167"/>
      <c r="J64" s="166"/>
      <c r="K64" s="231">
        <f t="shared" si="15"/>
        <v>116110</v>
      </c>
      <c r="L64" s="171">
        <v>200</v>
      </c>
      <c r="M64" s="331">
        <v>12000</v>
      </c>
      <c r="N64" s="166"/>
      <c r="O64" s="167"/>
      <c r="P64" s="232"/>
      <c r="Q64" s="167"/>
      <c r="R64" s="167"/>
      <c r="S64" s="166"/>
      <c r="T64" s="172">
        <f t="shared" si="19"/>
        <v>12200</v>
      </c>
      <c r="U64" s="172">
        <f t="shared" si="16"/>
        <v>103910</v>
      </c>
      <c r="V64" s="240"/>
    </row>
    <row r="65" spans="1:21" s="177" customFormat="1" ht="18" customHeight="1">
      <c r="A65" s="325">
        <v>15</v>
      </c>
      <c r="B65" s="323" t="s">
        <v>905</v>
      </c>
      <c r="C65" s="339" t="s">
        <v>137</v>
      </c>
      <c r="D65" s="166">
        <v>46400</v>
      </c>
      <c r="E65" s="167">
        <f t="shared" si="17"/>
        <v>55216</v>
      </c>
      <c r="F65" s="166">
        <f t="shared" si="18"/>
        <v>4640</v>
      </c>
      <c r="G65" s="167"/>
      <c r="H65" s="166"/>
      <c r="I65" s="167"/>
      <c r="J65" s="166"/>
      <c r="K65" s="231">
        <f t="shared" si="15"/>
        <v>106256</v>
      </c>
      <c r="L65" s="171">
        <v>200</v>
      </c>
      <c r="M65" s="331">
        <v>7500</v>
      </c>
      <c r="N65" s="166">
        <f>F65</f>
        <v>4640</v>
      </c>
      <c r="O65" s="167">
        <v>42</v>
      </c>
      <c r="P65" s="232">
        <v>20</v>
      </c>
      <c r="Q65" s="167"/>
      <c r="R65" s="167"/>
      <c r="S65" s="166"/>
      <c r="T65" s="172">
        <f t="shared" si="19"/>
        <v>12402</v>
      </c>
      <c r="U65" s="172">
        <f t="shared" si="16"/>
        <v>93854</v>
      </c>
    </row>
    <row r="66" spans="1:23" s="177" customFormat="1" ht="40.5">
      <c r="A66" s="325">
        <v>16</v>
      </c>
      <c r="B66" s="323" t="s">
        <v>1470</v>
      </c>
      <c r="C66" s="339" t="s">
        <v>357</v>
      </c>
      <c r="D66" s="166">
        <v>46400</v>
      </c>
      <c r="E66" s="167">
        <f t="shared" si="17"/>
        <v>55216</v>
      </c>
      <c r="F66" s="166">
        <f t="shared" si="18"/>
        <v>4640</v>
      </c>
      <c r="G66" s="167">
        <v>10000</v>
      </c>
      <c r="H66" s="166"/>
      <c r="I66" s="167"/>
      <c r="J66" s="166"/>
      <c r="K66" s="231">
        <f t="shared" si="15"/>
        <v>116256</v>
      </c>
      <c r="L66" s="171">
        <v>200</v>
      </c>
      <c r="M66" s="331">
        <v>7500</v>
      </c>
      <c r="N66" s="166">
        <f>4640+4331</f>
        <v>8971</v>
      </c>
      <c r="O66" s="167">
        <v>42</v>
      </c>
      <c r="P66" s="232">
        <v>20</v>
      </c>
      <c r="Q66" s="167"/>
      <c r="R66" s="167"/>
      <c r="S66" s="166"/>
      <c r="T66" s="172">
        <f t="shared" si="19"/>
        <v>16733</v>
      </c>
      <c r="U66" s="172">
        <f t="shared" si="16"/>
        <v>99523</v>
      </c>
      <c r="W66" s="240"/>
    </row>
    <row r="67" spans="1:23" s="177" customFormat="1" ht="18" customHeight="1">
      <c r="A67" s="325">
        <v>17</v>
      </c>
      <c r="B67" s="330" t="s">
        <v>727</v>
      </c>
      <c r="C67" s="176" t="s">
        <v>149</v>
      </c>
      <c r="D67" s="166">
        <v>30320</v>
      </c>
      <c r="E67" s="167">
        <f t="shared" si="17"/>
        <v>36081</v>
      </c>
      <c r="F67" s="166">
        <f t="shared" si="18"/>
        <v>3032</v>
      </c>
      <c r="G67" s="167">
        <v>0</v>
      </c>
      <c r="H67" s="166"/>
      <c r="I67" s="167"/>
      <c r="J67" s="166"/>
      <c r="K67" s="231">
        <f t="shared" si="15"/>
        <v>69433</v>
      </c>
      <c r="L67" s="171">
        <v>200</v>
      </c>
      <c r="M67" s="167">
        <v>8000</v>
      </c>
      <c r="N67" s="166">
        <v>3032</v>
      </c>
      <c r="O67" s="167"/>
      <c r="P67" s="232"/>
      <c r="Q67" s="167"/>
      <c r="R67" s="167"/>
      <c r="S67" s="166"/>
      <c r="T67" s="172">
        <f t="shared" si="19"/>
        <v>11232</v>
      </c>
      <c r="U67" s="172">
        <f t="shared" si="16"/>
        <v>58201</v>
      </c>
      <c r="W67" s="240" t="e">
        <f>#REF!+K65</f>
        <v>#REF!</v>
      </c>
    </row>
    <row r="68" spans="1:23" s="177" customFormat="1" ht="18" customHeight="1">
      <c r="A68" s="167">
        <v>18</v>
      </c>
      <c r="B68" s="330" t="s">
        <v>858</v>
      </c>
      <c r="C68" s="176" t="s">
        <v>152</v>
      </c>
      <c r="D68" s="166">
        <v>34126</v>
      </c>
      <c r="E68" s="167">
        <f t="shared" si="17"/>
        <v>40610</v>
      </c>
      <c r="F68" s="166">
        <f t="shared" si="18"/>
        <v>3413</v>
      </c>
      <c r="G68" s="167">
        <v>0</v>
      </c>
      <c r="H68" s="166"/>
      <c r="I68" s="167"/>
      <c r="J68" s="166"/>
      <c r="K68" s="231">
        <f t="shared" si="15"/>
        <v>78149</v>
      </c>
      <c r="L68" s="171">
        <v>200</v>
      </c>
      <c r="M68" s="331">
        <v>5000</v>
      </c>
      <c r="N68" s="166"/>
      <c r="O68" s="167"/>
      <c r="P68" s="232"/>
      <c r="Q68" s="167"/>
      <c r="R68" s="167"/>
      <c r="S68" s="166"/>
      <c r="T68" s="172">
        <f t="shared" si="19"/>
        <v>5200</v>
      </c>
      <c r="U68" s="172">
        <f t="shared" si="16"/>
        <v>72949</v>
      </c>
      <c r="W68" s="240" t="e">
        <f>W67-#REF!</f>
        <v>#REF!</v>
      </c>
    </row>
    <row r="69" spans="1:21" s="177" customFormat="1" ht="15">
      <c r="A69" s="325">
        <v>19</v>
      </c>
      <c r="B69" s="330" t="s">
        <v>1203</v>
      </c>
      <c r="C69" s="176" t="s">
        <v>131</v>
      </c>
      <c r="D69" s="166">
        <v>34126</v>
      </c>
      <c r="E69" s="167">
        <f t="shared" si="17"/>
        <v>40610</v>
      </c>
      <c r="F69" s="166">
        <f>ROUND(D69*10%,0)</f>
        <v>3413</v>
      </c>
      <c r="G69" s="167">
        <v>0</v>
      </c>
      <c r="H69" s="166"/>
      <c r="I69" s="167"/>
      <c r="J69" s="166"/>
      <c r="K69" s="231">
        <f t="shared" si="15"/>
        <v>78149</v>
      </c>
      <c r="L69" s="171">
        <v>200</v>
      </c>
      <c r="M69" s="331">
        <v>8000</v>
      </c>
      <c r="N69" s="166"/>
      <c r="O69" s="167"/>
      <c r="P69" s="232"/>
      <c r="Q69" s="167"/>
      <c r="R69" s="167"/>
      <c r="S69" s="166"/>
      <c r="T69" s="172">
        <f t="shared" si="19"/>
        <v>8200</v>
      </c>
      <c r="U69" s="172">
        <f t="shared" si="16"/>
        <v>69949</v>
      </c>
    </row>
    <row r="70" spans="1:21" s="177" customFormat="1" ht="18" customHeight="1">
      <c r="A70" s="167">
        <v>20</v>
      </c>
      <c r="B70" s="330" t="s">
        <v>952</v>
      </c>
      <c r="C70" s="176" t="s">
        <v>129</v>
      </c>
      <c r="D70" s="166">
        <v>32167</v>
      </c>
      <c r="E70" s="167">
        <f t="shared" si="17"/>
        <v>38279</v>
      </c>
      <c r="F70" s="166">
        <f>ROUND(D70*10%,0)</f>
        <v>3217</v>
      </c>
      <c r="G70" s="167">
        <v>10000</v>
      </c>
      <c r="H70" s="166"/>
      <c r="I70" s="167"/>
      <c r="J70" s="166"/>
      <c r="K70" s="231">
        <f t="shared" si="15"/>
        <v>83663</v>
      </c>
      <c r="L70" s="171">
        <v>200</v>
      </c>
      <c r="M70" s="167">
        <v>7000</v>
      </c>
      <c r="N70" s="166">
        <v>3217</v>
      </c>
      <c r="O70" s="167">
        <v>42</v>
      </c>
      <c r="P70" s="232">
        <v>20</v>
      </c>
      <c r="Q70" s="167"/>
      <c r="R70" s="167"/>
      <c r="S70" s="166"/>
      <c r="T70" s="172">
        <f>SUM(L70:S70)</f>
        <v>10479</v>
      </c>
      <c r="U70" s="172">
        <f t="shared" si="16"/>
        <v>73184</v>
      </c>
    </row>
    <row r="71" spans="1:21" s="177" customFormat="1" ht="30" customHeight="1">
      <c r="A71" s="325">
        <v>21</v>
      </c>
      <c r="B71" s="330" t="s">
        <v>1497</v>
      </c>
      <c r="C71" s="164" t="s">
        <v>357</v>
      </c>
      <c r="D71" s="166">
        <v>34126</v>
      </c>
      <c r="E71" s="167">
        <f t="shared" si="17"/>
        <v>40610</v>
      </c>
      <c r="F71" s="166">
        <f>ROUND(D71*10%,0)</f>
        <v>3413</v>
      </c>
      <c r="G71" s="167">
        <v>10000</v>
      </c>
      <c r="H71" s="166"/>
      <c r="I71" s="167"/>
      <c r="J71" s="166"/>
      <c r="K71" s="231">
        <f t="shared" si="15"/>
        <v>88149</v>
      </c>
      <c r="L71" s="171">
        <v>200</v>
      </c>
      <c r="M71" s="331">
        <v>7500</v>
      </c>
      <c r="N71" s="166">
        <f>+F71</f>
        <v>3413</v>
      </c>
      <c r="O71" s="167">
        <v>42</v>
      </c>
      <c r="P71" s="232">
        <v>20</v>
      </c>
      <c r="Q71" s="167"/>
      <c r="R71" s="167"/>
      <c r="S71" s="166"/>
      <c r="T71" s="172">
        <f>SUM(L71:S71)</f>
        <v>11175</v>
      </c>
      <c r="U71" s="172">
        <f t="shared" si="16"/>
        <v>76974</v>
      </c>
    </row>
    <row r="72" spans="1:21" s="177" customFormat="1" ht="18" customHeight="1">
      <c r="A72" s="167">
        <v>22</v>
      </c>
      <c r="B72" s="330" t="s">
        <v>87</v>
      </c>
      <c r="C72" s="164" t="s">
        <v>357</v>
      </c>
      <c r="D72" s="166">
        <v>33132</v>
      </c>
      <c r="E72" s="167">
        <f t="shared" si="17"/>
        <v>39427</v>
      </c>
      <c r="F72" s="166">
        <f>ROUND(D72*10%,0)</f>
        <v>3313</v>
      </c>
      <c r="G72" s="167">
        <v>10000</v>
      </c>
      <c r="H72" s="166"/>
      <c r="I72" s="167"/>
      <c r="J72" s="166"/>
      <c r="K72" s="231">
        <f t="shared" si="15"/>
        <v>85872</v>
      </c>
      <c r="L72" s="171">
        <v>200</v>
      </c>
      <c r="M72" s="331">
        <v>8500</v>
      </c>
      <c r="N72" s="166"/>
      <c r="O72" s="167"/>
      <c r="P72" s="232"/>
      <c r="Q72" s="167"/>
      <c r="R72" s="167"/>
      <c r="S72" s="166"/>
      <c r="T72" s="172">
        <f>SUM(L72:S72)</f>
        <v>8700</v>
      </c>
      <c r="U72" s="172">
        <f t="shared" si="16"/>
        <v>77172</v>
      </c>
    </row>
    <row r="73" spans="1:21" s="177" customFormat="1" ht="15">
      <c r="A73" s="325">
        <v>23</v>
      </c>
      <c r="B73" s="330" t="s">
        <v>1422</v>
      </c>
      <c r="C73" s="176" t="s">
        <v>150</v>
      </c>
      <c r="D73" s="166">
        <v>24308</v>
      </c>
      <c r="E73" s="167">
        <f t="shared" si="17"/>
        <v>28927</v>
      </c>
      <c r="F73" s="166">
        <f aca="true" t="shared" si="20" ref="F73:F83">ROUND(D73*10%,0)</f>
        <v>2431</v>
      </c>
      <c r="G73" s="167">
        <v>0</v>
      </c>
      <c r="H73" s="166"/>
      <c r="I73" s="167"/>
      <c r="J73" s="166"/>
      <c r="K73" s="231">
        <f t="shared" si="15"/>
        <v>55666</v>
      </c>
      <c r="L73" s="171">
        <v>200</v>
      </c>
      <c r="M73" s="167">
        <v>3000</v>
      </c>
      <c r="N73" s="166"/>
      <c r="O73" s="167"/>
      <c r="P73" s="232"/>
      <c r="Q73" s="167"/>
      <c r="R73" s="167"/>
      <c r="S73" s="166"/>
      <c r="T73" s="172">
        <f aca="true" t="shared" si="21" ref="T73:T84">SUM(L73:S73)</f>
        <v>3200</v>
      </c>
      <c r="U73" s="172">
        <f t="shared" si="16"/>
        <v>52466</v>
      </c>
    </row>
    <row r="74" spans="1:21" s="177" customFormat="1" ht="15">
      <c r="A74" s="167">
        <v>24</v>
      </c>
      <c r="B74" s="345" t="s">
        <v>1342</v>
      </c>
      <c r="C74" s="346" t="s">
        <v>148</v>
      </c>
      <c r="D74" s="166">
        <v>24308</v>
      </c>
      <c r="E74" s="167">
        <f t="shared" si="17"/>
        <v>28927</v>
      </c>
      <c r="F74" s="166">
        <f t="shared" si="20"/>
        <v>2431</v>
      </c>
      <c r="G74" s="167">
        <v>0</v>
      </c>
      <c r="H74" s="166"/>
      <c r="I74" s="167"/>
      <c r="J74" s="166"/>
      <c r="K74" s="231">
        <f t="shared" si="15"/>
        <v>55666</v>
      </c>
      <c r="L74" s="171">
        <v>200</v>
      </c>
      <c r="M74" s="167">
        <v>3000</v>
      </c>
      <c r="N74" s="166"/>
      <c r="O74" s="167"/>
      <c r="P74" s="232"/>
      <c r="Q74" s="167"/>
      <c r="R74" s="167"/>
      <c r="S74" s="166"/>
      <c r="T74" s="172">
        <f t="shared" si="21"/>
        <v>3200</v>
      </c>
      <c r="U74" s="172">
        <f t="shared" si="16"/>
        <v>52466</v>
      </c>
    </row>
    <row r="75" spans="1:21" s="177" customFormat="1" ht="15">
      <c r="A75" s="325">
        <v>25</v>
      </c>
      <c r="B75" s="345" t="s">
        <v>89</v>
      </c>
      <c r="C75" s="346" t="s">
        <v>134</v>
      </c>
      <c r="D75" s="166">
        <v>24308</v>
      </c>
      <c r="E75" s="167">
        <f t="shared" si="17"/>
        <v>28927</v>
      </c>
      <c r="F75" s="166">
        <f t="shared" si="20"/>
        <v>2431</v>
      </c>
      <c r="G75" s="167">
        <v>10000</v>
      </c>
      <c r="H75" s="166"/>
      <c r="I75" s="167"/>
      <c r="J75" s="166"/>
      <c r="K75" s="231">
        <f t="shared" si="15"/>
        <v>65666</v>
      </c>
      <c r="L75" s="171">
        <v>200</v>
      </c>
      <c r="M75" s="167">
        <v>3000</v>
      </c>
      <c r="N75" s="166"/>
      <c r="O75" s="167"/>
      <c r="P75" s="232"/>
      <c r="Q75" s="167"/>
      <c r="R75" s="167"/>
      <c r="S75" s="166"/>
      <c r="T75" s="172">
        <f t="shared" si="21"/>
        <v>3200</v>
      </c>
      <c r="U75" s="172">
        <f t="shared" si="16"/>
        <v>62466</v>
      </c>
    </row>
    <row r="76" spans="1:21" s="177" customFormat="1" ht="15">
      <c r="A76" s="167">
        <v>26</v>
      </c>
      <c r="B76" s="345" t="s">
        <v>1343</v>
      </c>
      <c r="C76" s="346" t="s">
        <v>131</v>
      </c>
      <c r="D76" s="166">
        <v>24308</v>
      </c>
      <c r="E76" s="167">
        <f t="shared" si="17"/>
        <v>28927</v>
      </c>
      <c r="F76" s="166">
        <f t="shared" si="20"/>
        <v>2431</v>
      </c>
      <c r="G76" s="167">
        <v>0</v>
      </c>
      <c r="H76" s="166"/>
      <c r="I76" s="167"/>
      <c r="J76" s="166"/>
      <c r="K76" s="231">
        <f t="shared" si="15"/>
        <v>55666</v>
      </c>
      <c r="L76" s="171">
        <v>200</v>
      </c>
      <c r="M76" s="167">
        <v>3000</v>
      </c>
      <c r="N76" s="166"/>
      <c r="O76" s="167"/>
      <c r="P76" s="232"/>
      <c r="Q76" s="167"/>
      <c r="R76" s="167"/>
      <c r="S76" s="166"/>
      <c r="T76" s="172">
        <f t="shared" si="21"/>
        <v>3200</v>
      </c>
      <c r="U76" s="172">
        <f t="shared" si="16"/>
        <v>52466</v>
      </c>
    </row>
    <row r="77" spans="1:21" s="177" customFormat="1" ht="15">
      <c r="A77" s="325">
        <v>27</v>
      </c>
      <c r="B77" s="352" t="s">
        <v>697</v>
      </c>
      <c r="C77" s="353" t="s">
        <v>128</v>
      </c>
      <c r="D77" s="166">
        <v>24308</v>
      </c>
      <c r="E77" s="167">
        <f t="shared" si="17"/>
        <v>28927</v>
      </c>
      <c r="F77" s="166">
        <f t="shared" si="20"/>
        <v>2431</v>
      </c>
      <c r="G77" s="167">
        <v>10000</v>
      </c>
      <c r="H77" s="166"/>
      <c r="I77" s="167"/>
      <c r="J77" s="166"/>
      <c r="K77" s="231">
        <f t="shared" si="15"/>
        <v>65666</v>
      </c>
      <c r="L77" s="171">
        <v>200</v>
      </c>
      <c r="M77" s="167">
        <v>3000</v>
      </c>
      <c r="N77" s="166"/>
      <c r="O77" s="167"/>
      <c r="P77" s="232"/>
      <c r="Q77" s="167"/>
      <c r="R77" s="167"/>
      <c r="S77" s="166"/>
      <c r="T77" s="172">
        <f t="shared" si="21"/>
        <v>3200</v>
      </c>
      <c r="U77" s="172">
        <f t="shared" si="16"/>
        <v>62466</v>
      </c>
    </row>
    <row r="78" spans="1:21" s="177" customFormat="1" ht="15">
      <c r="A78" s="167">
        <v>28</v>
      </c>
      <c r="B78" s="330" t="s">
        <v>698</v>
      </c>
      <c r="C78" s="335" t="s">
        <v>149</v>
      </c>
      <c r="D78" s="166">
        <v>24308</v>
      </c>
      <c r="E78" s="167">
        <f t="shared" si="17"/>
        <v>28927</v>
      </c>
      <c r="F78" s="166">
        <f t="shared" si="20"/>
        <v>2431</v>
      </c>
      <c r="G78" s="167"/>
      <c r="H78" s="166"/>
      <c r="I78" s="167"/>
      <c r="J78" s="166"/>
      <c r="K78" s="231">
        <f t="shared" si="15"/>
        <v>55666</v>
      </c>
      <c r="L78" s="171">
        <v>200</v>
      </c>
      <c r="M78" s="167">
        <v>3000</v>
      </c>
      <c r="N78" s="166"/>
      <c r="O78" s="167"/>
      <c r="P78" s="232"/>
      <c r="Q78" s="167"/>
      <c r="R78" s="167"/>
      <c r="S78" s="166"/>
      <c r="T78" s="172">
        <f t="shared" si="21"/>
        <v>3200</v>
      </c>
      <c r="U78" s="172">
        <f t="shared" si="16"/>
        <v>52466</v>
      </c>
    </row>
    <row r="79" spans="1:21" s="177" customFormat="1" ht="15">
      <c r="A79" s="325">
        <v>29</v>
      </c>
      <c r="B79" s="354" t="s">
        <v>1269</v>
      </c>
      <c r="C79" s="337" t="s">
        <v>131</v>
      </c>
      <c r="D79" s="166">
        <v>24308</v>
      </c>
      <c r="E79" s="167">
        <f t="shared" si="17"/>
        <v>28927</v>
      </c>
      <c r="F79" s="166">
        <f t="shared" si="20"/>
        <v>2431</v>
      </c>
      <c r="G79" s="167"/>
      <c r="H79" s="166"/>
      <c r="I79" s="167"/>
      <c r="J79" s="166"/>
      <c r="K79" s="231">
        <f t="shared" si="15"/>
        <v>55666</v>
      </c>
      <c r="L79" s="171">
        <v>200</v>
      </c>
      <c r="M79" s="167">
        <v>3000</v>
      </c>
      <c r="N79" s="166">
        <v>2431</v>
      </c>
      <c r="O79" s="167">
        <v>42</v>
      </c>
      <c r="P79" s="232">
        <v>20</v>
      </c>
      <c r="Q79" s="167"/>
      <c r="R79" s="167"/>
      <c r="S79" s="166"/>
      <c r="T79" s="172">
        <f t="shared" si="21"/>
        <v>5693</v>
      </c>
      <c r="U79" s="172">
        <f t="shared" si="16"/>
        <v>49973</v>
      </c>
    </row>
    <row r="80" spans="1:21" s="177" customFormat="1" ht="15">
      <c r="A80" s="167">
        <v>30</v>
      </c>
      <c r="B80" s="338" t="s">
        <v>1270</v>
      </c>
      <c r="C80" s="337" t="s">
        <v>693</v>
      </c>
      <c r="D80" s="166">
        <v>24308</v>
      </c>
      <c r="E80" s="167">
        <f t="shared" si="17"/>
        <v>28927</v>
      </c>
      <c r="F80" s="166">
        <f t="shared" si="20"/>
        <v>2431</v>
      </c>
      <c r="G80" s="167">
        <v>10000</v>
      </c>
      <c r="H80" s="166"/>
      <c r="I80" s="167"/>
      <c r="J80" s="166">
        <v>750</v>
      </c>
      <c r="K80" s="231">
        <f t="shared" si="15"/>
        <v>66416</v>
      </c>
      <c r="L80" s="171">
        <v>200</v>
      </c>
      <c r="M80" s="167">
        <v>3000</v>
      </c>
      <c r="N80" s="166">
        <f>F80</f>
        <v>2431</v>
      </c>
      <c r="O80" s="167">
        <v>42</v>
      </c>
      <c r="P80" s="232">
        <v>20</v>
      </c>
      <c r="Q80" s="167"/>
      <c r="R80" s="167"/>
      <c r="S80" s="166"/>
      <c r="T80" s="172">
        <f t="shared" si="21"/>
        <v>5693</v>
      </c>
      <c r="U80" s="172">
        <f t="shared" si="16"/>
        <v>60723</v>
      </c>
    </row>
    <row r="81" spans="1:21" s="177" customFormat="1" ht="15">
      <c r="A81" s="325">
        <v>31</v>
      </c>
      <c r="B81" s="338" t="s">
        <v>1271</v>
      </c>
      <c r="C81" s="337" t="s">
        <v>149</v>
      </c>
      <c r="D81" s="166">
        <v>24308</v>
      </c>
      <c r="E81" s="167">
        <f t="shared" si="17"/>
        <v>28927</v>
      </c>
      <c r="F81" s="166">
        <f t="shared" si="20"/>
        <v>2431</v>
      </c>
      <c r="G81" s="167"/>
      <c r="H81" s="166"/>
      <c r="I81" s="167"/>
      <c r="J81" s="166"/>
      <c r="K81" s="231">
        <f t="shared" si="15"/>
        <v>55666</v>
      </c>
      <c r="L81" s="171">
        <v>200</v>
      </c>
      <c r="M81" s="167">
        <v>3000</v>
      </c>
      <c r="N81" s="166">
        <f>F81</f>
        <v>2431</v>
      </c>
      <c r="O81" s="167">
        <v>42</v>
      </c>
      <c r="P81" s="232">
        <v>20</v>
      </c>
      <c r="Q81" s="167"/>
      <c r="R81" s="167"/>
      <c r="S81" s="166"/>
      <c r="T81" s="172">
        <f t="shared" si="21"/>
        <v>5693</v>
      </c>
      <c r="U81" s="172">
        <f t="shared" si="16"/>
        <v>49973</v>
      </c>
    </row>
    <row r="82" spans="1:21" s="355" customFormat="1" ht="15">
      <c r="A82" s="167">
        <v>32</v>
      </c>
      <c r="B82" s="330" t="s">
        <v>1423</v>
      </c>
      <c r="C82" s="176" t="s">
        <v>149</v>
      </c>
      <c r="D82" s="166">
        <v>24308</v>
      </c>
      <c r="E82" s="167">
        <f t="shared" si="17"/>
        <v>28927</v>
      </c>
      <c r="F82" s="166">
        <f t="shared" si="20"/>
        <v>2431</v>
      </c>
      <c r="G82" s="167"/>
      <c r="H82" s="166"/>
      <c r="I82" s="167"/>
      <c r="J82" s="166"/>
      <c r="K82" s="231">
        <f t="shared" si="15"/>
        <v>55666</v>
      </c>
      <c r="L82" s="171">
        <v>200</v>
      </c>
      <c r="M82" s="167">
        <v>3000</v>
      </c>
      <c r="N82" s="166">
        <f>F82</f>
        <v>2431</v>
      </c>
      <c r="O82" s="167">
        <v>42</v>
      </c>
      <c r="P82" s="232">
        <v>20</v>
      </c>
      <c r="Q82" s="167"/>
      <c r="R82" s="167"/>
      <c r="S82" s="166"/>
      <c r="T82" s="172">
        <f t="shared" si="21"/>
        <v>5693</v>
      </c>
      <c r="U82" s="172">
        <f t="shared" si="16"/>
        <v>49973</v>
      </c>
    </row>
    <row r="83" spans="1:21" s="177" customFormat="1" ht="27" customHeight="1">
      <c r="A83" s="271">
        <v>33</v>
      </c>
      <c r="B83" s="332" t="s">
        <v>1557</v>
      </c>
      <c r="C83" s="161" t="s">
        <v>149</v>
      </c>
      <c r="D83" s="158">
        <f>ROUND(23600*15/31,0)</f>
        <v>11419</v>
      </c>
      <c r="E83" s="167">
        <f t="shared" si="17"/>
        <v>13589</v>
      </c>
      <c r="F83" s="158">
        <f t="shared" si="20"/>
        <v>1142</v>
      </c>
      <c r="G83" s="316"/>
      <c r="H83" s="158"/>
      <c r="I83" s="316"/>
      <c r="J83" s="158"/>
      <c r="K83" s="229">
        <f t="shared" si="15"/>
        <v>26150</v>
      </c>
      <c r="L83" s="159">
        <v>200</v>
      </c>
      <c r="M83" s="316">
        <v>3000</v>
      </c>
      <c r="N83" s="158"/>
      <c r="O83" s="316"/>
      <c r="P83" s="230"/>
      <c r="Q83" s="316"/>
      <c r="R83" s="316"/>
      <c r="S83" s="158"/>
      <c r="T83" s="356">
        <f t="shared" si="21"/>
        <v>3200</v>
      </c>
      <c r="U83" s="172">
        <f t="shared" si="16"/>
        <v>22950</v>
      </c>
    </row>
    <row r="84" spans="1:21" s="177" customFormat="1" ht="18" customHeight="1">
      <c r="A84" s="167">
        <v>34</v>
      </c>
      <c r="B84" s="323" t="s">
        <v>1150</v>
      </c>
      <c r="C84" s="339" t="s">
        <v>136</v>
      </c>
      <c r="D84" s="166">
        <v>23600</v>
      </c>
      <c r="E84" s="167">
        <f t="shared" si="17"/>
        <v>28084</v>
      </c>
      <c r="F84" s="166">
        <f aca="true" t="shared" si="22" ref="F84:F93">ROUND(D84*10%,0)</f>
        <v>2360</v>
      </c>
      <c r="G84" s="167">
        <v>10000</v>
      </c>
      <c r="H84" s="166"/>
      <c r="I84" s="167"/>
      <c r="J84" s="166"/>
      <c r="K84" s="231">
        <f t="shared" si="15"/>
        <v>64044</v>
      </c>
      <c r="L84" s="317">
        <v>200</v>
      </c>
      <c r="M84" s="316">
        <v>3000</v>
      </c>
      <c r="N84" s="166">
        <v>2360</v>
      </c>
      <c r="O84" s="167">
        <v>42</v>
      </c>
      <c r="P84" s="232">
        <v>20</v>
      </c>
      <c r="Q84" s="167"/>
      <c r="R84" s="167"/>
      <c r="S84" s="166"/>
      <c r="T84" s="357">
        <f t="shared" si="21"/>
        <v>5622</v>
      </c>
      <c r="U84" s="172">
        <f t="shared" si="16"/>
        <v>58422</v>
      </c>
    </row>
    <row r="85" spans="1:21" s="177" customFormat="1" ht="15">
      <c r="A85" s="325">
        <v>35</v>
      </c>
      <c r="B85" s="323" t="s">
        <v>1204</v>
      </c>
      <c r="C85" s="339" t="s">
        <v>357</v>
      </c>
      <c r="D85" s="166">
        <v>23600</v>
      </c>
      <c r="E85" s="167">
        <f t="shared" si="17"/>
        <v>28084</v>
      </c>
      <c r="F85" s="166">
        <f t="shared" si="22"/>
        <v>2360</v>
      </c>
      <c r="G85" s="167">
        <v>10000</v>
      </c>
      <c r="H85" s="166"/>
      <c r="I85" s="167"/>
      <c r="J85" s="166"/>
      <c r="K85" s="231">
        <f t="shared" si="15"/>
        <v>64044</v>
      </c>
      <c r="L85" s="317">
        <v>200</v>
      </c>
      <c r="M85" s="316">
        <v>3000</v>
      </c>
      <c r="N85" s="316">
        <v>2360</v>
      </c>
      <c r="O85" s="167">
        <v>42</v>
      </c>
      <c r="P85" s="316">
        <v>20</v>
      </c>
      <c r="Q85" s="316"/>
      <c r="R85" s="316"/>
      <c r="S85" s="316"/>
      <c r="T85" s="342">
        <f aca="true" t="shared" si="23" ref="T85:T94">SUM(L85:S85)</f>
        <v>5622</v>
      </c>
      <c r="U85" s="172">
        <f t="shared" si="16"/>
        <v>58422</v>
      </c>
    </row>
    <row r="86" spans="1:21" s="177" customFormat="1" ht="15">
      <c r="A86" s="167">
        <v>36</v>
      </c>
      <c r="B86" s="358" t="s">
        <v>1205</v>
      </c>
      <c r="C86" s="339" t="s">
        <v>132</v>
      </c>
      <c r="D86" s="166">
        <v>23600</v>
      </c>
      <c r="E86" s="167">
        <f t="shared" si="17"/>
        <v>28084</v>
      </c>
      <c r="F86" s="166">
        <f t="shared" si="22"/>
        <v>2360</v>
      </c>
      <c r="G86" s="167"/>
      <c r="H86" s="166"/>
      <c r="I86" s="167"/>
      <c r="J86" s="166"/>
      <c r="K86" s="231">
        <f t="shared" si="15"/>
        <v>54044</v>
      </c>
      <c r="L86" s="317">
        <v>200</v>
      </c>
      <c r="M86" s="316">
        <v>3000</v>
      </c>
      <c r="N86" s="158"/>
      <c r="O86" s="316"/>
      <c r="P86" s="230"/>
      <c r="Q86" s="316"/>
      <c r="R86" s="316"/>
      <c r="S86" s="158"/>
      <c r="T86" s="342">
        <f t="shared" si="23"/>
        <v>3200</v>
      </c>
      <c r="U86" s="172">
        <f t="shared" si="16"/>
        <v>50844</v>
      </c>
    </row>
    <row r="87" spans="1:21" s="177" customFormat="1" ht="27">
      <c r="A87" s="167">
        <v>37</v>
      </c>
      <c r="B87" s="358" t="s">
        <v>1560</v>
      </c>
      <c r="C87" s="339" t="s">
        <v>129</v>
      </c>
      <c r="D87" s="166">
        <f>ROUND(23600*17/31,0)</f>
        <v>12942</v>
      </c>
      <c r="E87" s="167">
        <f t="shared" si="17"/>
        <v>15401</v>
      </c>
      <c r="F87" s="166">
        <f t="shared" si="22"/>
        <v>1294</v>
      </c>
      <c r="G87" s="167">
        <f>ROUND(10000*17/31,0)</f>
        <v>5484</v>
      </c>
      <c r="H87" s="166"/>
      <c r="I87" s="167"/>
      <c r="J87" s="166"/>
      <c r="K87" s="231">
        <f t="shared" si="15"/>
        <v>35121</v>
      </c>
      <c r="L87" s="317">
        <v>200</v>
      </c>
      <c r="M87" s="316">
        <v>0</v>
      </c>
      <c r="N87" s="158">
        <v>2360</v>
      </c>
      <c r="O87" s="167">
        <v>42</v>
      </c>
      <c r="P87" s="230">
        <v>20</v>
      </c>
      <c r="Q87" s="316"/>
      <c r="R87" s="316"/>
      <c r="S87" s="158"/>
      <c r="T87" s="342">
        <f t="shared" si="23"/>
        <v>2622</v>
      </c>
      <c r="U87" s="172">
        <f t="shared" si="16"/>
        <v>32499</v>
      </c>
    </row>
    <row r="88" spans="1:23" s="177" customFormat="1" ht="15">
      <c r="A88" s="167">
        <v>38</v>
      </c>
      <c r="B88" s="359" t="s">
        <v>1173</v>
      </c>
      <c r="C88" s="360" t="s">
        <v>131</v>
      </c>
      <c r="D88" s="166">
        <v>23600</v>
      </c>
      <c r="E88" s="167">
        <f t="shared" si="17"/>
        <v>28084</v>
      </c>
      <c r="F88" s="166">
        <f t="shared" si="22"/>
        <v>2360</v>
      </c>
      <c r="G88" s="167"/>
      <c r="H88" s="166"/>
      <c r="I88" s="167"/>
      <c r="J88" s="166"/>
      <c r="K88" s="231">
        <f t="shared" si="15"/>
        <v>54044</v>
      </c>
      <c r="L88" s="324">
        <v>200</v>
      </c>
      <c r="M88" s="325">
        <v>3000</v>
      </c>
      <c r="N88" s="158"/>
      <c r="O88" s="316"/>
      <c r="P88" s="230"/>
      <c r="Q88" s="316"/>
      <c r="R88" s="316"/>
      <c r="S88" s="158"/>
      <c r="T88" s="342">
        <f>SUM(L88:S88)</f>
        <v>3200</v>
      </c>
      <c r="U88" s="172">
        <f t="shared" si="16"/>
        <v>50844</v>
      </c>
      <c r="W88" s="240" t="e">
        <f>K88+#REF!</f>
        <v>#REF!</v>
      </c>
    </row>
    <row r="89" spans="1:23" s="177" customFormat="1" ht="15">
      <c r="A89" s="167">
        <v>39</v>
      </c>
      <c r="B89" s="345" t="s">
        <v>1206</v>
      </c>
      <c r="C89" s="346" t="s">
        <v>148</v>
      </c>
      <c r="D89" s="343">
        <v>23600</v>
      </c>
      <c r="E89" s="167">
        <f t="shared" si="17"/>
        <v>28084</v>
      </c>
      <c r="F89" s="343">
        <f>ROUND(D89*10%,0)</f>
        <v>2360</v>
      </c>
      <c r="G89" s="343"/>
      <c r="H89" s="343"/>
      <c r="I89" s="343"/>
      <c r="J89" s="343"/>
      <c r="K89" s="361">
        <f>SUM(D89:J89)</f>
        <v>54044</v>
      </c>
      <c r="L89" s="349">
        <v>200</v>
      </c>
      <c r="M89" s="343">
        <v>3000</v>
      </c>
      <c r="N89" s="158"/>
      <c r="O89" s="316"/>
      <c r="P89" s="230"/>
      <c r="Q89" s="316"/>
      <c r="R89" s="316"/>
      <c r="S89" s="158"/>
      <c r="T89" s="342">
        <f>SUM(L89:S89)</f>
        <v>3200</v>
      </c>
      <c r="U89" s="172">
        <f t="shared" si="16"/>
        <v>50844</v>
      </c>
      <c r="W89" s="240"/>
    </row>
    <row r="90" spans="1:21" s="177" customFormat="1" ht="15">
      <c r="A90" s="167">
        <v>40</v>
      </c>
      <c r="B90" s="362" t="s">
        <v>1207</v>
      </c>
      <c r="C90" s="363" t="s">
        <v>124</v>
      </c>
      <c r="D90" s="158">
        <v>23600</v>
      </c>
      <c r="E90" s="167">
        <f t="shared" si="17"/>
        <v>28084</v>
      </c>
      <c r="F90" s="158">
        <f t="shared" si="22"/>
        <v>2360</v>
      </c>
      <c r="G90" s="316">
        <v>10000</v>
      </c>
      <c r="H90" s="158"/>
      <c r="I90" s="316"/>
      <c r="J90" s="158"/>
      <c r="K90" s="229">
        <f t="shared" si="15"/>
        <v>64044</v>
      </c>
      <c r="L90" s="317">
        <v>200</v>
      </c>
      <c r="M90" s="316">
        <v>3000</v>
      </c>
      <c r="N90" s="158"/>
      <c r="O90" s="316"/>
      <c r="P90" s="230"/>
      <c r="Q90" s="316"/>
      <c r="R90" s="316"/>
      <c r="S90" s="158"/>
      <c r="T90" s="342">
        <f t="shared" si="23"/>
        <v>3200</v>
      </c>
      <c r="U90" s="172">
        <f t="shared" si="16"/>
        <v>60844</v>
      </c>
    </row>
    <row r="91" spans="1:21" s="177" customFormat="1" ht="15">
      <c r="A91" s="167">
        <v>41</v>
      </c>
      <c r="B91" s="358" t="s">
        <v>1272</v>
      </c>
      <c r="C91" s="176" t="s">
        <v>129</v>
      </c>
      <c r="D91" s="158">
        <v>23600</v>
      </c>
      <c r="E91" s="167">
        <f t="shared" si="17"/>
        <v>28084</v>
      </c>
      <c r="F91" s="166">
        <f t="shared" si="22"/>
        <v>2360</v>
      </c>
      <c r="G91" s="316">
        <v>10000</v>
      </c>
      <c r="H91" s="166"/>
      <c r="I91" s="167"/>
      <c r="J91" s="166"/>
      <c r="K91" s="231">
        <f t="shared" si="15"/>
        <v>64044</v>
      </c>
      <c r="L91" s="317">
        <v>200</v>
      </c>
      <c r="M91" s="316">
        <v>2000</v>
      </c>
      <c r="N91" s="158">
        <v>2360</v>
      </c>
      <c r="O91" s="167">
        <v>42</v>
      </c>
      <c r="P91" s="230">
        <v>20</v>
      </c>
      <c r="Q91" s="316"/>
      <c r="R91" s="316"/>
      <c r="S91" s="158"/>
      <c r="T91" s="342">
        <f t="shared" si="23"/>
        <v>4622</v>
      </c>
      <c r="U91" s="172">
        <f t="shared" si="16"/>
        <v>59422</v>
      </c>
    </row>
    <row r="92" spans="1:21" s="177" customFormat="1" ht="15">
      <c r="A92" s="167">
        <v>42</v>
      </c>
      <c r="B92" s="358" t="s">
        <v>700</v>
      </c>
      <c r="C92" s="176" t="s">
        <v>132</v>
      </c>
      <c r="D92" s="166">
        <v>23600</v>
      </c>
      <c r="E92" s="167">
        <f t="shared" si="17"/>
        <v>28084</v>
      </c>
      <c r="F92" s="166">
        <f t="shared" si="22"/>
        <v>2360</v>
      </c>
      <c r="G92" s="167">
        <v>10000</v>
      </c>
      <c r="H92" s="166"/>
      <c r="I92" s="167"/>
      <c r="J92" s="166"/>
      <c r="K92" s="231">
        <f t="shared" si="15"/>
        <v>64044</v>
      </c>
      <c r="L92" s="317">
        <v>200</v>
      </c>
      <c r="M92" s="316">
        <v>2000</v>
      </c>
      <c r="N92" s="158"/>
      <c r="O92" s="316"/>
      <c r="P92" s="230"/>
      <c r="Q92" s="316"/>
      <c r="R92" s="316"/>
      <c r="S92" s="158"/>
      <c r="T92" s="342">
        <f t="shared" si="23"/>
        <v>2200</v>
      </c>
      <c r="U92" s="172">
        <f t="shared" si="16"/>
        <v>61844</v>
      </c>
    </row>
    <row r="93" spans="1:21" s="177" customFormat="1" ht="15">
      <c r="A93" s="167">
        <v>43</v>
      </c>
      <c r="B93" s="358" t="s">
        <v>1260</v>
      </c>
      <c r="C93" s="176" t="s">
        <v>132</v>
      </c>
      <c r="D93" s="166">
        <v>23600</v>
      </c>
      <c r="E93" s="167">
        <f t="shared" si="17"/>
        <v>28084</v>
      </c>
      <c r="F93" s="166">
        <f t="shared" si="22"/>
        <v>2360</v>
      </c>
      <c r="G93" s="167"/>
      <c r="H93" s="166"/>
      <c r="I93" s="167"/>
      <c r="J93" s="166"/>
      <c r="K93" s="231">
        <f t="shared" si="15"/>
        <v>54044</v>
      </c>
      <c r="L93" s="317">
        <v>200</v>
      </c>
      <c r="M93" s="316">
        <v>2000</v>
      </c>
      <c r="N93" s="158"/>
      <c r="O93" s="316"/>
      <c r="P93" s="230"/>
      <c r="Q93" s="316"/>
      <c r="R93" s="316"/>
      <c r="S93" s="158"/>
      <c r="T93" s="342">
        <f t="shared" si="23"/>
        <v>2200</v>
      </c>
      <c r="U93" s="172">
        <f t="shared" si="16"/>
        <v>51844</v>
      </c>
    </row>
    <row r="94" spans="1:23" s="177" customFormat="1" ht="27">
      <c r="A94" s="325">
        <v>44</v>
      </c>
      <c r="B94" s="323" t="s">
        <v>1492</v>
      </c>
      <c r="C94" s="339" t="s">
        <v>137</v>
      </c>
      <c r="D94" s="166">
        <v>23600</v>
      </c>
      <c r="E94" s="167">
        <f>ROUND(D94*119%,0)</f>
        <v>28084</v>
      </c>
      <c r="F94" s="166">
        <f>ROUND(D94*10%,0)</f>
        <v>2360</v>
      </c>
      <c r="G94" s="167">
        <v>10000</v>
      </c>
      <c r="H94" s="166"/>
      <c r="I94" s="167"/>
      <c r="J94" s="166"/>
      <c r="K94" s="231">
        <f>SUM(D94:J94)</f>
        <v>64044</v>
      </c>
      <c r="L94" s="317">
        <v>200</v>
      </c>
      <c r="M94" s="316">
        <v>2000</v>
      </c>
      <c r="N94" s="158">
        <f>ROUND(2360*6/31,0)</f>
        <v>457</v>
      </c>
      <c r="O94" s="316"/>
      <c r="P94" s="230"/>
      <c r="Q94" s="316"/>
      <c r="R94" s="316"/>
      <c r="S94" s="158"/>
      <c r="T94" s="342">
        <f t="shared" si="23"/>
        <v>2657</v>
      </c>
      <c r="U94" s="172">
        <f t="shared" si="16"/>
        <v>61387</v>
      </c>
      <c r="W94" s="240"/>
    </row>
    <row r="95" spans="1:23" s="177" customFormat="1" ht="68.25" customHeight="1">
      <c r="A95" s="233" t="s">
        <v>160</v>
      </c>
      <c r="B95" s="234" t="s">
        <v>1515</v>
      </c>
      <c r="C95" s="176"/>
      <c r="D95" s="166"/>
      <c r="E95" s="167"/>
      <c r="F95" s="166"/>
      <c r="G95" s="167"/>
      <c r="H95" s="166"/>
      <c r="I95" s="167"/>
      <c r="J95" s="166"/>
      <c r="K95" s="231"/>
      <c r="L95" s="171"/>
      <c r="M95" s="167"/>
      <c r="N95" s="166"/>
      <c r="O95" s="167"/>
      <c r="P95" s="232"/>
      <c r="Q95" s="167"/>
      <c r="R95" s="167"/>
      <c r="S95" s="166"/>
      <c r="T95" s="172"/>
      <c r="U95" s="172"/>
      <c r="W95" s="240"/>
    </row>
    <row r="96" spans="1:23" s="177" customFormat="1" ht="15">
      <c r="A96" s="167">
        <v>1</v>
      </c>
      <c r="B96" s="330" t="s">
        <v>1344</v>
      </c>
      <c r="C96" s="176" t="s">
        <v>149</v>
      </c>
      <c r="D96" s="166">
        <v>25039</v>
      </c>
      <c r="E96" s="167">
        <f>ROUND(D96*119%,0)</f>
        <v>29796</v>
      </c>
      <c r="F96" s="166">
        <f aca="true" t="shared" si="24" ref="F96:F101">ROUND(D96*10%,0)</f>
        <v>2504</v>
      </c>
      <c r="G96" s="167">
        <v>0</v>
      </c>
      <c r="H96" s="166"/>
      <c r="I96" s="167"/>
      <c r="J96" s="166"/>
      <c r="K96" s="231">
        <f t="shared" si="15"/>
        <v>57339</v>
      </c>
      <c r="L96" s="171">
        <v>200</v>
      </c>
      <c r="M96" s="167">
        <v>1500</v>
      </c>
      <c r="N96" s="166"/>
      <c r="O96" s="167"/>
      <c r="P96" s="232"/>
      <c r="Q96" s="167"/>
      <c r="R96" s="167"/>
      <c r="S96" s="166"/>
      <c r="T96" s="172">
        <f aca="true" t="shared" si="25" ref="T96:T101">SUM(L96:S96)</f>
        <v>1700</v>
      </c>
      <c r="U96" s="172">
        <f t="shared" si="16"/>
        <v>55639</v>
      </c>
      <c r="W96" s="240"/>
    </row>
    <row r="97" spans="1:21" s="177" customFormat="1" ht="15">
      <c r="A97" s="167">
        <v>2</v>
      </c>
      <c r="B97" s="330" t="s">
        <v>1424</v>
      </c>
      <c r="C97" s="176" t="s">
        <v>134</v>
      </c>
      <c r="D97" s="166">
        <v>25039</v>
      </c>
      <c r="E97" s="167">
        <f aca="true" t="shared" si="26" ref="E97:E117">ROUND(D97*119%,0)</f>
        <v>29796</v>
      </c>
      <c r="F97" s="166">
        <f>ROUND(D97*10%,0)</f>
        <v>2504</v>
      </c>
      <c r="G97" s="167">
        <v>0</v>
      </c>
      <c r="H97" s="166"/>
      <c r="I97" s="167"/>
      <c r="J97" s="166"/>
      <c r="K97" s="231">
        <f t="shared" si="15"/>
        <v>57339</v>
      </c>
      <c r="L97" s="171">
        <v>200</v>
      </c>
      <c r="M97" s="167">
        <v>1500</v>
      </c>
      <c r="N97" s="166"/>
      <c r="O97" s="167"/>
      <c r="P97" s="232"/>
      <c r="Q97" s="167"/>
      <c r="R97" s="167"/>
      <c r="S97" s="166"/>
      <c r="T97" s="172">
        <f t="shared" si="25"/>
        <v>1700</v>
      </c>
      <c r="U97" s="172">
        <f t="shared" si="16"/>
        <v>55639</v>
      </c>
    </row>
    <row r="98" spans="1:21" s="177" customFormat="1" ht="15">
      <c r="A98" s="167">
        <v>3</v>
      </c>
      <c r="B98" s="330" t="s">
        <v>161</v>
      </c>
      <c r="C98" s="176" t="s">
        <v>134</v>
      </c>
      <c r="D98" s="166">
        <v>25039</v>
      </c>
      <c r="E98" s="167">
        <f t="shared" si="26"/>
        <v>29796</v>
      </c>
      <c r="F98" s="166">
        <f t="shared" si="24"/>
        <v>2504</v>
      </c>
      <c r="G98" s="167">
        <v>0</v>
      </c>
      <c r="H98" s="166"/>
      <c r="I98" s="167"/>
      <c r="J98" s="166"/>
      <c r="K98" s="231">
        <f t="shared" si="15"/>
        <v>57339</v>
      </c>
      <c r="L98" s="171">
        <v>200</v>
      </c>
      <c r="M98" s="167">
        <v>1500</v>
      </c>
      <c r="N98" s="166"/>
      <c r="O98" s="167"/>
      <c r="P98" s="232"/>
      <c r="Q98" s="167"/>
      <c r="R98" s="167"/>
      <c r="S98" s="166"/>
      <c r="T98" s="172">
        <f t="shared" si="25"/>
        <v>1700</v>
      </c>
      <c r="U98" s="172">
        <f t="shared" si="16"/>
        <v>55639</v>
      </c>
    </row>
    <row r="99" spans="1:21" s="177" customFormat="1" ht="15">
      <c r="A99" s="167">
        <v>4</v>
      </c>
      <c r="B99" s="330" t="s">
        <v>1425</v>
      </c>
      <c r="C99" s="176" t="s">
        <v>134</v>
      </c>
      <c r="D99" s="166">
        <v>25039</v>
      </c>
      <c r="E99" s="167">
        <f t="shared" si="26"/>
        <v>29796</v>
      </c>
      <c r="F99" s="166">
        <f t="shared" si="24"/>
        <v>2504</v>
      </c>
      <c r="G99" s="167">
        <v>0</v>
      </c>
      <c r="H99" s="166"/>
      <c r="I99" s="167"/>
      <c r="J99" s="166"/>
      <c r="K99" s="231">
        <f t="shared" si="15"/>
        <v>57339</v>
      </c>
      <c r="L99" s="171">
        <v>200</v>
      </c>
      <c r="M99" s="167">
        <v>2000</v>
      </c>
      <c r="N99" s="166"/>
      <c r="O99" s="167"/>
      <c r="P99" s="232"/>
      <c r="Q99" s="167"/>
      <c r="R99" s="167"/>
      <c r="S99" s="166"/>
      <c r="T99" s="172">
        <f t="shared" si="25"/>
        <v>2200</v>
      </c>
      <c r="U99" s="172">
        <f t="shared" si="16"/>
        <v>55139</v>
      </c>
    </row>
    <row r="100" spans="1:21" s="177" customFormat="1" ht="15">
      <c r="A100" s="167">
        <v>5</v>
      </c>
      <c r="B100" s="330" t="s">
        <v>1345</v>
      </c>
      <c r="C100" s="176" t="s">
        <v>150</v>
      </c>
      <c r="D100" s="166">
        <v>25039</v>
      </c>
      <c r="E100" s="167">
        <f t="shared" si="26"/>
        <v>29796</v>
      </c>
      <c r="F100" s="166">
        <f t="shared" si="24"/>
        <v>2504</v>
      </c>
      <c r="G100" s="167">
        <v>0</v>
      </c>
      <c r="H100" s="166"/>
      <c r="I100" s="167"/>
      <c r="J100" s="166"/>
      <c r="K100" s="231">
        <f t="shared" si="15"/>
        <v>57339</v>
      </c>
      <c r="L100" s="171">
        <v>200</v>
      </c>
      <c r="M100" s="167">
        <v>2000</v>
      </c>
      <c r="N100" s="166"/>
      <c r="O100" s="167"/>
      <c r="P100" s="232"/>
      <c r="Q100" s="167"/>
      <c r="R100" s="167"/>
      <c r="S100" s="166"/>
      <c r="T100" s="172">
        <f t="shared" si="25"/>
        <v>2200</v>
      </c>
      <c r="U100" s="172">
        <f t="shared" si="16"/>
        <v>55139</v>
      </c>
    </row>
    <row r="101" spans="1:21" s="177" customFormat="1" ht="16.5" customHeight="1">
      <c r="A101" s="167">
        <v>6</v>
      </c>
      <c r="B101" s="330" t="s">
        <v>761</v>
      </c>
      <c r="C101" s="176" t="s">
        <v>132</v>
      </c>
      <c r="D101" s="166">
        <v>22915</v>
      </c>
      <c r="E101" s="167">
        <f t="shared" si="26"/>
        <v>27269</v>
      </c>
      <c r="F101" s="166">
        <f t="shared" si="24"/>
        <v>2292</v>
      </c>
      <c r="G101" s="167">
        <v>0</v>
      </c>
      <c r="H101" s="166"/>
      <c r="I101" s="167"/>
      <c r="J101" s="166"/>
      <c r="K101" s="231">
        <f t="shared" si="15"/>
        <v>52476</v>
      </c>
      <c r="L101" s="171">
        <v>200</v>
      </c>
      <c r="M101" s="167">
        <v>2000</v>
      </c>
      <c r="N101" s="166">
        <v>0</v>
      </c>
      <c r="O101" s="167"/>
      <c r="P101" s="232"/>
      <c r="Q101" s="167"/>
      <c r="R101" s="167"/>
      <c r="S101" s="166"/>
      <c r="T101" s="172">
        <f t="shared" si="25"/>
        <v>2200</v>
      </c>
      <c r="U101" s="172">
        <f t="shared" si="16"/>
        <v>50276</v>
      </c>
    </row>
    <row r="102" spans="1:21" s="177" customFormat="1" ht="15">
      <c r="A102" s="167">
        <v>7</v>
      </c>
      <c r="B102" s="330" t="s">
        <v>1516</v>
      </c>
      <c r="C102" s="176" t="s">
        <v>148</v>
      </c>
      <c r="D102" s="166">
        <v>25039</v>
      </c>
      <c r="E102" s="167">
        <f t="shared" si="26"/>
        <v>29796</v>
      </c>
      <c r="F102" s="166">
        <f aca="true" t="shared" si="27" ref="F102:F110">ROUND(D102*10%,0)</f>
        <v>2504</v>
      </c>
      <c r="G102" s="167">
        <v>0</v>
      </c>
      <c r="H102" s="166"/>
      <c r="I102" s="167"/>
      <c r="J102" s="166"/>
      <c r="K102" s="231">
        <f t="shared" si="15"/>
        <v>57339</v>
      </c>
      <c r="L102" s="171">
        <v>200</v>
      </c>
      <c r="M102" s="167">
        <v>2000</v>
      </c>
      <c r="N102" s="166"/>
      <c r="O102" s="167"/>
      <c r="P102" s="232"/>
      <c r="Q102" s="167"/>
      <c r="R102" s="167"/>
      <c r="S102" s="166"/>
      <c r="T102" s="172">
        <f aca="true" t="shared" si="28" ref="T102:T111">SUM(L102:S102)</f>
        <v>2200</v>
      </c>
      <c r="U102" s="172">
        <f t="shared" si="16"/>
        <v>55139</v>
      </c>
    </row>
    <row r="103" spans="1:21" s="177" customFormat="1" ht="15">
      <c r="A103" s="167">
        <v>8</v>
      </c>
      <c r="B103" s="330" t="s">
        <v>1346</v>
      </c>
      <c r="C103" s="176" t="s">
        <v>158</v>
      </c>
      <c r="D103" s="166">
        <v>25039</v>
      </c>
      <c r="E103" s="167">
        <f t="shared" si="26"/>
        <v>29796</v>
      </c>
      <c r="F103" s="166">
        <f t="shared" si="27"/>
        <v>2504</v>
      </c>
      <c r="G103" s="167">
        <v>0</v>
      </c>
      <c r="H103" s="166"/>
      <c r="I103" s="167"/>
      <c r="J103" s="166"/>
      <c r="K103" s="231">
        <f t="shared" si="15"/>
        <v>57339</v>
      </c>
      <c r="L103" s="171">
        <v>200</v>
      </c>
      <c r="M103" s="167">
        <v>2000</v>
      </c>
      <c r="N103" s="166"/>
      <c r="O103" s="167"/>
      <c r="P103" s="232"/>
      <c r="Q103" s="167"/>
      <c r="R103" s="167"/>
      <c r="S103" s="166"/>
      <c r="T103" s="172">
        <f t="shared" si="28"/>
        <v>2200</v>
      </c>
      <c r="U103" s="172">
        <f t="shared" si="16"/>
        <v>55139</v>
      </c>
    </row>
    <row r="104" spans="1:21" s="177" customFormat="1" ht="15">
      <c r="A104" s="167">
        <v>9</v>
      </c>
      <c r="B104" s="330" t="s">
        <v>1426</v>
      </c>
      <c r="C104" s="176" t="s">
        <v>133</v>
      </c>
      <c r="D104" s="166">
        <v>24310</v>
      </c>
      <c r="E104" s="167">
        <f t="shared" si="26"/>
        <v>28929</v>
      </c>
      <c r="F104" s="166">
        <f t="shared" si="27"/>
        <v>2431</v>
      </c>
      <c r="G104" s="167">
        <v>0</v>
      </c>
      <c r="H104" s="166"/>
      <c r="I104" s="167"/>
      <c r="J104" s="166"/>
      <c r="K104" s="231">
        <f t="shared" si="15"/>
        <v>55670</v>
      </c>
      <c r="L104" s="171">
        <v>200</v>
      </c>
      <c r="M104" s="167">
        <v>2000</v>
      </c>
      <c r="N104" s="166"/>
      <c r="O104" s="167"/>
      <c r="P104" s="232"/>
      <c r="Q104" s="167"/>
      <c r="R104" s="167"/>
      <c r="S104" s="166"/>
      <c r="T104" s="172">
        <f t="shared" si="28"/>
        <v>2200</v>
      </c>
      <c r="U104" s="172">
        <f t="shared" si="16"/>
        <v>53470</v>
      </c>
    </row>
    <row r="105" spans="1:21" s="177" customFormat="1" ht="16.5" customHeight="1">
      <c r="A105" s="167">
        <v>10</v>
      </c>
      <c r="B105" s="330" t="s">
        <v>762</v>
      </c>
      <c r="C105" s="176" t="s">
        <v>151</v>
      </c>
      <c r="D105" s="166">
        <v>25039</v>
      </c>
      <c r="E105" s="167">
        <f t="shared" si="26"/>
        <v>29796</v>
      </c>
      <c r="F105" s="166">
        <f t="shared" si="27"/>
        <v>2504</v>
      </c>
      <c r="G105" s="167">
        <v>0</v>
      </c>
      <c r="H105" s="166"/>
      <c r="I105" s="167"/>
      <c r="J105" s="166"/>
      <c r="K105" s="231">
        <f t="shared" si="15"/>
        <v>57339</v>
      </c>
      <c r="L105" s="171">
        <v>200</v>
      </c>
      <c r="M105" s="167">
        <v>2000</v>
      </c>
      <c r="N105" s="166"/>
      <c r="O105" s="167"/>
      <c r="P105" s="232"/>
      <c r="Q105" s="167"/>
      <c r="R105" s="167"/>
      <c r="S105" s="166"/>
      <c r="T105" s="172">
        <f t="shared" si="28"/>
        <v>2200</v>
      </c>
      <c r="U105" s="172">
        <f t="shared" si="16"/>
        <v>55139</v>
      </c>
    </row>
    <row r="106" spans="1:21" s="177" customFormat="1" ht="34.5" customHeight="1">
      <c r="A106" s="167">
        <v>11</v>
      </c>
      <c r="B106" s="364" t="s">
        <v>1543</v>
      </c>
      <c r="C106" s="176" t="s">
        <v>151</v>
      </c>
      <c r="D106" s="166">
        <f>ROUND(24310*14/31,0)</f>
        <v>10979</v>
      </c>
      <c r="E106" s="167">
        <f t="shared" si="26"/>
        <v>13065</v>
      </c>
      <c r="F106" s="166">
        <f t="shared" si="27"/>
        <v>1098</v>
      </c>
      <c r="G106" s="167"/>
      <c r="H106" s="166"/>
      <c r="I106" s="167"/>
      <c r="J106" s="166"/>
      <c r="K106" s="231">
        <f t="shared" si="15"/>
        <v>25142</v>
      </c>
      <c r="L106" s="171">
        <v>200</v>
      </c>
      <c r="M106" s="167">
        <v>2000</v>
      </c>
      <c r="N106" s="166"/>
      <c r="O106" s="167"/>
      <c r="P106" s="232"/>
      <c r="Q106" s="167"/>
      <c r="R106" s="167"/>
      <c r="S106" s="166"/>
      <c r="T106" s="172">
        <f t="shared" si="28"/>
        <v>2200</v>
      </c>
      <c r="U106" s="172">
        <f t="shared" si="16"/>
        <v>22942</v>
      </c>
    </row>
    <row r="107" spans="1:21" s="177" customFormat="1" ht="16.5" customHeight="1">
      <c r="A107" s="167">
        <v>12</v>
      </c>
      <c r="B107" s="330" t="s">
        <v>953</v>
      </c>
      <c r="C107" s="176" t="s">
        <v>132</v>
      </c>
      <c r="D107" s="166">
        <v>24310</v>
      </c>
      <c r="E107" s="167">
        <f t="shared" si="26"/>
        <v>28929</v>
      </c>
      <c r="F107" s="166">
        <f>ROUND(D107*10%,0)</f>
        <v>2431</v>
      </c>
      <c r="G107" s="167">
        <v>0</v>
      </c>
      <c r="H107" s="166"/>
      <c r="I107" s="167"/>
      <c r="J107" s="166"/>
      <c r="K107" s="231">
        <f t="shared" si="15"/>
        <v>55670</v>
      </c>
      <c r="L107" s="171">
        <v>200</v>
      </c>
      <c r="M107" s="167">
        <v>2000</v>
      </c>
      <c r="N107" s="166"/>
      <c r="O107" s="167"/>
      <c r="P107" s="232"/>
      <c r="Q107" s="167"/>
      <c r="R107" s="167"/>
      <c r="S107" s="166"/>
      <c r="T107" s="172">
        <f>SUM(L107:S107)</f>
        <v>2200</v>
      </c>
      <c r="U107" s="172">
        <f t="shared" si="16"/>
        <v>53470</v>
      </c>
    </row>
    <row r="108" spans="1:21" s="177" customFormat="1" ht="15">
      <c r="A108" s="167">
        <v>13</v>
      </c>
      <c r="B108" s="330" t="s">
        <v>1347</v>
      </c>
      <c r="C108" s="176" t="s">
        <v>150</v>
      </c>
      <c r="D108" s="166">
        <v>24310</v>
      </c>
      <c r="E108" s="167">
        <f t="shared" si="26"/>
        <v>28929</v>
      </c>
      <c r="F108" s="166">
        <f>ROUND(D108*10%,0)</f>
        <v>2431</v>
      </c>
      <c r="G108" s="167">
        <v>0</v>
      </c>
      <c r="H108" s="166"/>
      <c r="I108" s="167"/>
      <c r="J108" s="166"/>
      <c r="K108" s="231">
        <f t="shared" si="15"/>
        <v>55670</v>
      </c>
      <c r="L108" s="171">
        <v>200</v>
      </c>
      <c r="M108" s="167">
        <v>2000</v>
      </c>
      <c r="N108" s="166"/>
      <c r="O108" s="167"/>
      <c r="P108" s="232"/>
      <c r="Q108" s="167"/>
      <c r="R108" s="167"/>
      <c r="S108" s="166"/>
      <c r="T108" s="172">
        <f>SUM(L108:S108)</f>
        <v>2200</v>
      </c>
      <c r="U108" s="172">
        <f t="shared" si="16"/>
        <v>53470</v>
      </c>
    </row>
    <row r="109" spans="1:21" s="177" customFormat="1" ht="16.5" customHeight="1">
      <c r="A109" s="167">
        <v>14</v>
      </c>
      <c r="B109" s="330" t="s">
        <v>588</v>
      </c>
      <c r="C109" s="176" t="s">
        <v>134</v>
      </c>
      <c r="D109" s="166">
        <v>22915</v>
      </c>
      <c r="E109" s="167">
        <f t="shared" si="26"/>
        <v>27269</v>
      </c>
      <c r="F109" s="166">
        <f>ROUND(D109*10%,0)</f>
        <v>2292</v>
      </c>
      <c r="G109" s="167">
        <v>0</v>
      </c>
      <c r="H109" s="166"/>
      <c r="I109" s="167"/>
      <c r="J109" s="166"/>
      <c r="K109" s="231">
        <f t="shared" si="15"/>
        <v>52476</v>
      </c>
      <c r="L109" s="171">
        <v>200</v>
      </c>
      <c r="M109" s="167">
        <v>2000</v>
      </c>
      <c r="N109" s="166"/>
      <c r="O109" s="167"/>
      <c r="P109" s="232"/>
      <c r="Q109" s="167"/>
      <c r="R109" s="167"/>
      <c r="S109" s="166"/>
      <c r="T109" s="172">
        <f>SUM(L109:S109)</f>
        <v>2200</v>
      </c>
      <c r="U109" s="172">
        <f t="shared" si="16"/>
        <v>50276</v>
      </c>
    </row>
    <row r="110" spans="1:21" s="177" customFormat="1" ht="15">
      <c r="A110" s="167">
        <v>15</v>
      </c>
      <c r="B110" s="330" t="s">
        <v>1273</v>
      </c>
      <c r="C110" s="176" t="s">
        <v>150</v>
      </c>
      <c r="D110" s="166">
        <v>24310</v>
      </c>
      <c r="E110" s="167">
        <f t="shared" si="26"/>
        <v>28929</v>
      </c>
      <c r="F110" s="166">
        <f t="shared" si="27"/>
        <v>2431</v>
      </c>
      <c r="G110" s="167">
        <v>0</v>
      </c>
      <c r="H110" s="166"/>
      <c r="I110" s="167"/>
      <c r="J110" s="166"/>
      <c r="K110" s="231">
        <f t="shared" si="15"/>
        <v>55670</v>
      </c>
      <c r="L110" s="171">
        <v>200</v>
      </c>
      <c r="M110" s="167">
        <v>2000</v>
      </c>
      <c r="N110" s="166"/>
      <c r="O110" s="167"/>
      <c r="P110" s="232"/>
      <c r="Q110" s="167"/>
      <c r="R110" s="167"/>
      <c r="S110" s="166"/>
      <c r="T110" s="172">
        <f>SUM(L110:S110)</f>
        <v>2200</v>
      </c>
      <c r="U110" s="172">
        <f t="shared" si="16"/>
        <v>53470</v>
      </c>
    </row>
    <row r="111" spans="1:21" s="177" customFormat="1" ht="16.5" customHeight="1">
      <c r="A111" s="167">
        <v>16</v>
      </c>
      <c r="B111" s="330" t="s">
        <v>589</v>
      </c>
      <c r="C111" s="176" t="s">
        <v>148</v>
      </c>
      <c r="D111" s="166">
        <v>22915</v>
      </c>
      <c r="E111" s="167">
        <f t="shared" si="26"/>
        <v>27269</v>
      </c>
      <c r="F111" s="166">
        <f aca="true" t="shared" si="29" ref="F111:F117">ROUND(D111*10%,0)</f>
        <v>2292</v>
      </c>
      <c r="G111" s="167">
        <v>0</v>
      </c>
      <c r="H111" s="166"/>
      <c r="I111" s="167"/>
      <c r="J111" s="166"/>
      <c r="K111" s="231">
        <f t="shared" si="15"/>
        <v>52476</v>
      </c>
      <c r="L111" s="171">
        <v>200</v>
      </c>
      <c r="M111" s="167">
        <v>2000</v>
      </c>
      <c r="N111" s="166"/>
      <c r="O111" s="167"/>
      <c r="P111" s="232"/>
      <c r="Q111" s="167"/>
      <c r="R111" s="167"/>
      <c r="S111" s="166"/>
      <c r="T111" s="172">
        <f t="shared" si="28"/>
        <v>2200</v>
      </c>
      <c r="U111" s="172">
        <f t="shared" si="16"/>
        <v>50276</v>
      </c>
    </row>
    <row r="112" spans="1:21" s="177" customFormat="1" ht="16.5" customHeight="1">
      <c r="A112" s="167">
        <v>17</v>
      </c>
      <c r="B112" s="330" t="s">
        <v>48</v>
      </c>
      <c r="C112" s="176" t="s">
        <v>135</v>
      </c>
      <c r="D112" s="166">
        <v>22248</v>
      </c>
      <c r="E112" s="167">
        <f t="shared" si="26"/>
        <v>26475</v>
      </c>
      <c r="F112" s="166">
        <f t="shared" si="29"/>
        <v>2225</v>
      </c>
      <c r="G112" s="167">
        <v>0</v>
      </c>
      <c r="H112" s="166"/>
      <c r="I112" s="167"/>
      <c r="J112" s="166"/>
      <c r="K112" s="231">
        <f t="shared" si="15"/>
        <v>50948</v>
      </c>
      <c r="L112" s="171">
        <v>200</v>
      </c>
      <c r="M112" s="167">
        <v>2000</v>
      </c>
      <c r="N112" s="166"/>
      <c r="O112" s="167"/>
      <c r="P112" s="232"/>
      <c r="Q112" s="167"/>
      <c r="R112" s="167">
        <v>4752</v>
      </c>
      <c r="S112" s="166"/>
      <c r="T112" s="172">
        <f aca="true" t="shared" si="30" ref="T112:T117">SUM(L112:S112)</f>
        <v>6952</v>
      </c>
      <c r="U112" s="172">
        <f t="shared" si="16"/>
        <v>43996</v>
      </c>
    </row>
    <row r="113" spans="1:21" s="177" customFormat="1" ht="16.5" customHeight="1">
      <c r="A113" s="167">
        <v>18</v>
      </c>
      <c r="B113" s="330" t="s">
        <v>225</v>
      </c>
      <c r="C113" s="176" t="s">
        <v>135</v>
      </c>
      <c r="D113" s="166">
        <v>22248</v>
      </c>
      <c r="E113" s="167">
        <f t="shared" si="26"/>
        <v>26475</v>
      </c>
      <c r="F113" s="166">
        <f t="shared" si="29"/>
        <v>2225</v>
      </c>
      <c r="G113" s="167">
        <v>0</v>
      </c>
      <c r="H113" s="166"/>
      <c r="I113" s="167"/>
      <c r="J113" s="166"/>
      <c r="K113" s="231">
        <f t="shared" si="15"/>
        <v>50948</v>
      </c>
      <c r="L113" s="171">
        <v>200</v>
      </c>
      <c r="M113" s="167">
        <v>2000</v>
      </c>
      <c r="N113" s="166">
        <v>1813</v>
      </c>
      <c r="O113" s="167">
        <v>42</v>
      </c>
      <c r="P113" s="232">
        <v>20</v>
      </c>
      <c r="Q113" s="167"/>
      <c r="R113" s="167"/>
      <c r="S113" s="166"/>
      <c r="T113" s="172">
        <f t="shared" si="30"/>
        <v>4075</v>
      </c>
      <c r="U113" s="172">
        <f t="shared" si="16"/>
        <v>46873</v>
      </c>
    </row>
    <row r="114" spans="1:21" s="177" customFormat="1" ht="16.5" customHeight="1">
      <c r="A114" s="167">
        <v>19</v>
      </c>
      <c r="B114" s="330" t="s">
        <v>139</v>
      </c>
      <c r="C114" s="176" t="s">
        <v>158</v>
      </c>
      <c r="D114" s="166">
        <v>22248</v>
      </c>
      <c r="E114" s="167">
        <f t="shared" si="26"/>
        <v>26475</v>
      </c>
      <c r="F114" s="166">
        <f t="shared" si="29"/>
        <v>2225</v>
      </c>
      <c r="G114" s="167">
        <v>0</v>
      </c>
      <c r="H114" s="166"/>
      <c r="I114" s="167"/>
      <c r="J114" s="166"/>
      <c r="K114" s="231">
        <f t="shared" si="15"/>
        <v>50948</v>
      </c>
      <c r="L114" s="171">
        <v>200</v>
      </c>
      <c r="M114" s="167">
        <v>2000</v>
      </c>
      <c r="N114" s="166"/>
      <c r="O114" s="167"/>
      <c r="P114" s="232"/>
      <c r="Q114" s="167"/>
      <c r="R114" s="167"/>
      <c r="S114" s="166"/>
      <c r="T114" s="172">
        <f t="shared" si="30"/>
        <v>2200</v>
      </c>
      <c r="U114" s="172">
        <f t="shared" si="16"/>
        <v>48748</v>
      </c>
    </row>
    <row r="115" spans="1:21" s="177" customFormat="1" ht="15">
      <c r="A115" s="167">
        <v>20</v>
      </c>
      <c r="B115" s="330" t="s">
        <v>699</v>
      </c>
      <c r="C115" s="346" t="s">
        <v>148</v>
      </c>
      <c r="D115" s="166">
        <v>22248</v>
      </c>
      <c r="E115" s="167">
        <f t="shared" si="26"/>
        <v>26475</v>
      </c>
      <c r="F115" s="166">
        <f t="shared" si="29"/>
        <v>2225</v>
      </c>
      <c r="G115" s="167"/>
      <c r="H115" s="166"/>
      <c r="I115" s="167"/>
      <c r="J115" s="166"/>
      <c r="K115" s="231">
        <f>SUM(D115:J115)</f>
        <v>50948</v>
      </c>
      <c r="L115" s="171">
        <v>200</v>
      </c>
      <c r="M115" s="167">
        <v>2000</v>
      </c>
      <c r="N115" s="166"/>
      <c r="O115" s="325"/>
      <c r="P115" s="237"/>
      <c r="Q115" s="325"/>
      <c r="R115" s="325"/>
      <c r="S115" s="166"/>
      <c r="T115" s="172">
        <f t="shared" si="30"/>
        <v>2200</v>
      </c>
      <c r="U115" s="172">
        <f t="shared" si="16"/>
        <v>48748</v>
      </c>
    </row>
    <row r="116" spans="1:21" s="177" customFormat="1" ht="15">
      <c r="A116" s="167">
        <v>21</v>
      </c>
      <c r="B116" s="365" t="s">
        <v>1208</v>
      </c>
      <c r="C116" s="366" t="s">
        <v>132</v>
      </c>
      <c r="D116" s="166">
        <v>21600</v>
      </c>
      <c r="E116" s="167">
        <f t="shared" si="26"/>
        <v>25704</v>
      </c>
      <c r="F116" s="166">
        <f t="shared" si="29"/>
        <v>2160</v>
      </c>
      <c r="G116" s="167"/>
      <c r="H116" s="166"/>
      <c r="I116" s="167"/>
      <c r="J116" s="166"/>
      <c r="K116" s="231">
        <f>SUM(D116:J116)</f>
        <v>49464</v>
      </c>
      <c r="L116" s="171">
        <v>200</v>
      </c>
      <c r="M116" s="167">
        <v>2000</v>
      </c>
      <c r="N116" s="166"/>
      <c r="O116" s="325"/>
      <c r="P116" s="237"/>
      <c r="Q116" s="325"/>
      <c r="R116" s="325"/>
      <c r="S116" s="166"/>
      <c r="T116" s="172">
        <f t="shared" si="30"/>
        <v>2200</v>
      </c>
      <c r="U116" s="172">
        <f>K116-T116</f>
        <v>47264</v>
      </c>
    </row>
    <row r="117" spans="1:21" s="177" customFormat="1" ht="15">
      <c r="A117" s="343">
        <v>22</v>
      </c>
      <c r="B117" s="352" t="s">
        <v>1364</v>
      </c>
      <c r="C117" s="335" t="s">
        <v>149</v>
      </c>
      <c r="D117" s="166">
        <v>21600</v>
      </c>
      <c r="E117" s="167">
        <f t="shared" si="26"/>
        <v>25704</v>
      </c>
      <c r="F117" s="166">
        <f t="shared" si="29"/>
        <v>2160</v>
      </c>
      <c r="G117" s="232"/>
      <c r="H117" s="166"/>
      <c r="I117" s="167"/>
      <c r="J117" s="166"/>
      <c r="K117" s="231">
        <f>SUM(D117:J117)</f>
        <v>49464</v>
      </c>
      <c r="L117" s="171">
        <v>200</v>
      </c>
      <c r="M117" s="167">
        <v>2000</v>
      </c>
      <c r="N117" s="166"/>
      <c r="O117" s="325"/>
      <c r="P117" s="237"/>
      <c r="Q117" s="325"/>
      <c r="R117" s="325"/>
      <c r="S117" s="166"/>
      <c r="T117" s="342">
        <f t="shared" si="30"/>
        <v>2200</v>
      </c>
      <c r="U117" s="172">
        <f>K117-T117</f>
        <v>47264</v>
      </c>
    </row>
    <row r="118" spans="1:21" s="177" customFormat="1" ht="15.75" customHeight="1" thickBot="1">
      <c r="A118" s="233">
        <v>23</v>
      </c>
      <c r="B118" s="234" t="s">
        <v>1363</v>
      </c>
      <c r="C118" s="235"/>
      <c r="D118" s="166"/>
      <c r="E118" s="167"/>
      <c r="F118" s="166"/>
      <c r="G118" s="167"/>
      <c r="H118" s="166"/>
      <c r="I118" s="167"/>
      <c r="J118" s="166"/>
      <c r="K118" s="231"/>
      <c r="L118" s="171"/>
      <c r="M118" s="167"/>
      <c r="N118" s="166"/>
      <c r="O118" s="236"/>
      <c r="P118" s="237"/>
      <c r="Q118" s="325"/>
      <c r="R118" s="236"/>
      <c r="S118" s="166"/>
      <c r="T118" s="238"/>
      <c r="U118" s="172"/>
    </row>
    <row r="119" spans="1:22" s="177" customFormat="1" ht="15.75" customHeight="1" thickBot="1">
      <c r="A119" s="458" t="s">
        <v>162</v>
      </c>
      <c r="B119" s="459"/>
      <c r="C119" s="460"/>
      <c r="D119" s="239">
        <f>SUM(D8:D118)</f>
        <v>4089004</v>
      </c>
      <c r="E119" s="239">
        <f aca="true" t="shared" si="31" ref="E119:U119">SUM(E8:E118)</f>
        <v>4746918</v>
      </c>
      <c r="F119" s="239">
        <f t="shared" si="31"/>
        <v>398905</v>
      </c>
      <c r="G119" s="239">
        <f t="shared" si="31"/>
        <v>495484</v>
      </c>
      <c r="H119" s="239">
        <f t="shared" si="31"/>
        <v>0</v>
      </c>
      <c r="I119" s="239">
        <f t="shared" si="31"/>
        <v>0</v>
      </c>
      <c r="J119" s="239">
        <f t="shared" si="31"/>
        <v>3775</v>
      </c>
      <c r="K119" s="239">
        <f t="shared" si="31"/>
        <v>9734086</v>
      </c>
      <c r="L119" s="239">
        <f t="shared" si="31"/>
        <v>21000</v>
      </c>
      <c r="M119" s="239">
        <f t="shared" si="31"/>
        <v>1006000</v>
      </c>
      <c r="N119" s="239">
        <f t="shared" si="31"/>
        <v>163488</v>
      </c>
      <c r="O119" s="239">
        <f t="shared" si="31"/>
        <v>1470</v>
      </c>
      <c r="P119" s="239">
        <f t="shared" si="31"/>
        <v>700</v>
      </c>
      <c r="Q119" s="239">
        <f t="shared" si="31"/>
        <v>0</v>
      </c>
      <c r="R119" s="239">
        <f t="shared" si="31"/>
        <v>80261</v>
      </c>
      <c r="S119" s="239">
        <f t="shared" si="31"/>
        <v>19315</v>
      </c>
      <c r="T119" s="239">
        <f t="shared" si="31"/>
        <v>1292234</v>
      </c>
      <c r="U119" s="329">
        <f t="shared" si="31"/>
        <v>8441852</v>
      </c>
      <c r="V119" s="240"/>
    </row>
    <row r="120" spans="1:22" s="177" customFormat="1" ht="15" customHeight="1">
      <c r="A120" s="456" t="s">
        <v>1594</v>
      </c>
      <c r="B120" s="456"/>
      <c r="C120" s="456"/>
      <c r="D120" s="456"/>
      <c r="E120" s="456"/>
      <c r="F120" s="456"/>
      <c r="G120" s="456"/>
      <c r="H120" s="456"/>
      <c r="I120" s="456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40"/>
    </row>
    <row r="121" ht="15.75" thickBot="1">
      <c r="B121" s="241"/>
    </row>
    <row r="122" spans="2:10" ht="15.75" thickBot="1">
      <c r="B122" s="242" t="s">
        <v>171</v>
      </c>
      <c r="C122" s="243" t="s">
        <v>170</v>
      </c>
      <c r="D122" s="244" t="s">
        <v>199</v>
      </c>
      <c r="E122" s="243" t="s">
        <v>193</v>
      </c>
      <c r="G122" s="201"/>
      <c r="H122" s="201"/>
      <c r="I122" s="201"/>
      <c r="J122" s="245"/>
    </row>
    <row r="123" spans="1:21" s="177" customFormat="1" ht="27">
      <c r="A123" s="195"/>
      <c r="B123" s="246" t="s">
        <v>172</v>
      </c>
      <c r="C123" s="311">
        <f>+U119</f>
        <v>8441852</v>
      </c>
      <c r="D123" s="159">
        <f>+'Abstract-Non Teach'!E16</f>
      </c>
      <c r="E123" s="316"/>
      <c r="F123" s="207"/>
      <c r="G123" s="207"/>
      <c r="H123" s="207"/>
      <c r="I123" s="195"/>
      <c r="J123" s="207"/>
      <c r="K123" s="207"/>
      <c r="L123" s="194"/>
      <c r="M123" s="195"/>
      <c r="N123" s="195"/>
      <c r="O123" s="195"/>
      <c r="P123" s="195"/>
      <c r="Q123" s="195"/>
      <c r="R123" s="195"/>
      <c r="S123" s="195"/>
      <c r="U123" s="240"/>
    </row>
    <row r="124" spans="1:21" s="177" customFormat="1" ht="15">
      <c r="A124" s="195"/>
      <c r="B124" s="247" t="s">
        <v>116</v>
      </c>
      <c r="C124" s="248">
        <f>+L119</f>
        <v>21000</v>
      </c>
      <c r="D124" s="158">
        <f>+'Abstract-Non Teach'!E17</f>
      </c>
      <c r="E124" s="316"/>
      <c r="F124" s="195"/>
      <c r="G124" s="195"/>
      <c r="H124" s="195"/>
      <c r="I124" s="195"/>
      <c r="J124" s="195"/>
      <c r="K124" s="249"/>
      <c r="L124" s="194"/>
      <c r="M124" s="195"/>
      <c r="N124" s="195"/>
      <c r="O124" s="195"/>
      <c r="P124" s="195"/>
      <c r="Q124" s="195"/>
      <c r="R124" s="195"/>
      <c r="S124" s="195"/>
      <c r="U124" s="240"/>
    </row>
    <row r="125" spans="1:21" s="177" customFormat="1" ht="15">
      <c r="A125" s="195"/>
      <c r="B125" s="247" t="s">
        <v>117</v>
      </c>
      <c r="C125" s="248">
        <f>+M119</f>
        <v>1006000</v>
      </c>
      <c r="D125" s="158">
        <f>+'Abstract-Non Teach'!E20</f>
      </c>
      <c r="E125" s="316"/>
      <c r="F125" s="195"/>
      <c r="G125" s="195"/>
      <c r="H125" s="195"/>
      <c r="I125" s="195"/>
      <c r="J125" s="195"/>
      <c r="K125" s="249"/>
      <c r="L125" s="194"/>
      <c r="M125" s="195"/>
      <c r="N125" s="195"/>
      <c r="O125" s="195"/>
      <c r="P125" s="195"/>
      <c r="Q125" s="278" t="s">
        <v>174</v>
      </c>
      <c r="R125" s="278"/>
      <c r="S125" s="278"/>
      <c r="T125" s="278"/>
      <c r="U125" s="320"/>
    </row>
    <row r="126" spans="1:21" s="177" customFormat="1" ht="13.5">
      <c r="A126" s="195"/>
      <c r="B126" s="247" t="s">
        <v>112</v>
      </c>
      <c r="C126" s="248">
        <f>+N119</f>
        <v>163488</v>
      </c>
      <c r="D126" s="158">
        <f>+'Abstract-Non Teach'!E26</f>
      </c>
      <c r="E126" s="316"/>
      <c r="F126" s="195"/>
      <c r="G126" s="195"/>
      <c r="M126" s="195"/>
      <c r="N126" s="195"/>
      <c r="O126" s="195"/>
      <c r="P126" s="195"/>
      <c r="Q126" s="278" t="s">
        <v>175</v>
      </c>
      <c r="R126" s="278"/>
      <c r="S126" s="278"/>
      <c r="T126" s="278"/>
      <c r="U126" s="278"/>
    </row>
    <row r="127" spans="1:21" s="177" customFormat="1" ht="13.5">
      <c r="A127" s="195"/>
      <c r="B127" s="247" t="s">
        <v>76</v>
      </c>
      <c r="C127" s="248">
        <f>+O119</f>
        <v>1470</v>
      </c>
      <c r="D127" s="158"/>
      <c r="E127" s="316"/>
      <c r="F127" s="195"/>
      <c r="G127" s="195"/>
      <c r="H127" s="278"/>
      <c r="I127" s="278"/>
      <c r="J127" s="278"/>
      <c r="K127" s="320"/>
      <c r="L127" s="278"/>
      <c r="M127" s="195"/>
      <c r="N127" s="195"/>
      <c r="O127" s="195"/>
      <c r="P127" s="195"/>
      <c r="Q127" s="278" t="s">
        <v>205</v>
      </c>
      <c r="R127" s="278"/>
      <c r="S127" s="278"/>
      <c r="T127" s="278"/>
      <c r="U127" s="278"/>
    </row>
    <row r="128" spans="1:19" s="177" customFormat="1" ht="13.5">
      <c r="A128" s="195"/>
      <c r="B128" s="247" t="s">
        <v>79</v>
      </c>
      <c r="C128" s="248">
        <f>+P119</f>
        <v>700</v>
      </c>
      <c r="D128" s="158"/>
      <c r="E128" s="316"/>
      <c r="F128" s="195"/>
      <c r="G128" s="195"/>
      <c r="M128" s="195"/>
      <c r="N128" s="195"/>
      <c r="O128" s="195"/>
      <c r="P128" s="195"/>
      <c r="Q128" s="195"/>
      <c r="R128" s="195"/>
      <c r="S128" s="195"/>
    </row>
    <row r="129" spans="1:19" s="177" customFormat="1" ht="13.5">
      <c r="A129" s="195"/>
      <c r="B129" s="247" t="s">
        <v>41</v>
      </c>
      <c r="C129" s="248">
        <f>+Q119</f>
        <v>0</v>
      </c>
      <c r="D129" s="166"/>
      <c r="E129" s="316"/>
      <c r="F129" s="195"/>
      <c r="G129" s="195"/>
      <c r="M129" s="195"/>
      <c r="N129" s="195"/>
      <c r="O129" s="195"/>
      <c r="P129" s="195"/>
      <c r="Q129" s="195"/>
      <c r="R129" s="195"/>
      <c r="S129" s="195"/>
    </row>
    <row r="130" spans="1:19" s="177" customFormat="1" ht="13.5">
      <c r="A130" s="195"/>
      <c r="B130" s="247" t="s">
        <v>118</v>
      </c>
      <c r="C130" s="248">
        <f>+R119</f>
        <v>80261</v>
      </c>
      <c r="D130" s="166"/>
      <c r="E130" s="316"/>
      <c r="F130" s="195"/>
      <c r="G130" s="195"/>
      <c r="M130" s="195"/>
      <c r="N130" s="195"/>
      <c r="O130" s="195"/>
      <c r="P130" s="195"/>
      <c r="Q130" s="195"/>
      <c r="R130" s="195"/>
      <c r="S130" s="195"/>
    </row>
    <row r="131" spans="1:19" s="177" customFormat="1" ht="14.25" thickBot="1">
      <c r="A131" s="195"/>
      <c r="B131" s="250" t="s">
        <v>43</v>
      </c>
      <c r="C131" s="251">
        <f>+S119</f>
        <v>19315</v>
      </c>
      <c r="D131" s="270">
        <f>+'Abstract-Non Teach'!E28</f>
      </c>
      <c r="E131" s="271"/>
      <c r="F131" s="195"/>
      <c r="G131" s="195"/>
      <c r="M131" s="195"/>
      <c r="N131" s="195"/>
      <c r="O131" s="195"/>
      <c r="P131" s="195"/>
      <c r="Q131" s="195"/>
      <c r="R131" s="195"/>
      <c r="S131" s="195"/>
    </row>
    <row r="132" spans="1:19" s="177" customFormat="1" ht="15.75" thickBot="1">
      <c r="A132" s="195"/>
      <c r="B132" s="328" t="s">
        <v>173</v>
      </c>
      <c r="C132" s="312">
        <f>SUM(C123:C131)</f>
        <v>9734086</v>
      </c>
      <c r="D132" s="272"/>
      <c r="E132" s="273"/>
      <c r="F132" s="195"/>
      <c r="G132" s="195"/>
      <c r="H132" s="195"/>
      <c r="I132" s="195"/>
      <c r="J132" s="457"/>
      <c r="K132" s="457"/>
      <c r="L132" s="194"/>
      <c r="M132" s="195"/>
      <c r="N132" s="195"/>
      <c r="O132" s="195"/>
      <c r="P132" s="195"/>
      <c r="Q132" s="195"/>
      <c r="R132" s="195"/>
      <c r="S132" s="195"/>
    </row>
    <row r="136" ht="15">
      <c r="C136" s="252"/>
    </row>
  </sheetData>
  <sheetProtection/>
  <mergeCells count="7">
    <mergeCell ref="A120:I120"/>
    <mergeCell ref="J132:K132"/>
    <mergeCell ref="A119:C119"/>
    <mergeCell ref="A1:U1"/>
    <mergeCell ref="A2:U2"/>
    <mergeCell ref="A4:U4"/>
    <mergeCell ref="A3:U3"/>
  </mergeCells>
  <printOptions horizontalCentered="1"/>
  <pageMargins left="0.14" right="0.14" top="0.3" bottom="1.49" header="0.15" footer="1.03"/>
  <pageSetup horizontalDpi="600" verticalDpi="600" orientation="landscape" paperSize="5" scale="87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L52"/>
  <sheetViews>
    <sheetView zoomScalePageLayoutView="0" workbookViewId="0" topLeftCell="A6">
      <selection activeCell="H20" sqref="H20"/>
    </sheetView>
  </sheetViews>
  <sheetFormatPr defaultColWidth="9.140625" defaultRowHeight="12.75"/>
  <cols>
    <col min="1" max="1" width="5.57421875" style="88" customWidth="1"/>
    <col min="2" max="2" width="27.140625" style="88" bestFit="1" customWidth="1"/>
    <col min="3" max="3" width="10.140625" style="88" bestFit="1" customWidth="1"/>
    <col min="4" max="4" width="10.7109375" style="88" bestFit="1" customWidth="1"/>
    <col min="5" max="5" width="8.421875" style="88" bestFit="1" customWidth="1"/>
    <col min="6" max="6" width="8.421875" style="88" customWidth="1"/>
    <col min="7" max="7" width="8.00390625" style="88" bestFit="1" customWidth="1"/>
    <col min="8" max="8" width="9.421875" style="88" bestFit="1" customWidth="1"/>
    <col min="9" max="9" width="9.8515625" style="88" customWidth="1"/>
    <col min="10" max="13" width="9.140625" style="88" customWidth="1"/>
    <col min="14" max="14" width="9.421875" style="88" bestFit="1" customWidth="1"/>
    <col min="15" max="15" width="9.140625" style="88" customWidth="1"/>
    <col min="16" max="16" width="14.421875" style="88" customWidth="1"/>
    <col min="17" max="17" width="9.421875" style="88" bestFit="1" customWidth="1"/>
    <col min="18" max="18" width="9.140625" style="88" customWidth="1"/>
    <col min="19" max="20" width="9.421875" style="88" bestFit="1" customWidth="1"/>
    <col min="21" max="24" width="9.140625" style="88" customWidth="1"/>
    <col min="25" max="25" width="30.57421875" style="88" customWidth="1"/>
    <col min="26" max="26" width="6.00390625" style="88" bestFit="1" customWidth="1"/>
    <col min="27" max="27" width="6.8515625" style="88" bestFit="1" customWidth="1"/>
    <col min="28" max="28" width="5.8515625" style="88" bestFit="1" customWidth="1"/>
    <col min="29" max="29" width="6.00390625" style="88" bestFit="1" customWidth="1"/>
    <col min="30" max="30" width="5.8515625" style="88" customWidth="1"/>
    <col min="31" max="31" width="6.140625" style="88" bestFit="1" customWidth="1"/>
    <col min="32" max="32" width="10.00390625" style="88" bestFit="1" customWidth="1"/>
    <col min="33" max="33" width="4.00390625" style="88" bestFit="1" customWidth="1"/>
    <col min="34" max="34" width="5.00390625" style="88" bestFit="1" customWidth="1"/>
    <col min="35" max="35" width="6.28125" style="88" bestFit="1" customWidth="1"/>
    <col min="36" max="36" width="4.421875" style="88" bestFit="1" customWidth="1"/>
    <col min="37" max="37" width="9.140625" style="88" customWidth="1"/>
    <col min="38" max="38" width="11.00390625" style="88" bestFit="1" customWidth="1"/>
    <col min="39" max="16384" width="9.140625" style="88" customWidth="1"/>
  </cols>
  <sheetData>
    <row r="4" spans="1:17" ht="15">
      <c r="A4" s="462" t="s">
        <v>121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</row>
    <row r="5" spans="1:17" ht="15">
      <c r="A5" s="462" t="s">
        <v>122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</row>
    <row r="6" spans="1:17" ht="15">
      <c r="A6" s="462" t="s">
        <v>46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</row>
    <row r="7" spans="1:17" ht="15.75" thickBot="1">
      <c r="A7" s="462" t="s">
        <v>1419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</row>
    <row r="8" spans="1:17" ht="30.75" thickBot="1">
      <c r="A8" s="93" t="s">
        <v>181</v>
      </c>
      <c r="B8" s="90" t="s">
        <v>169</v>
      </c>
      <c r="C8" s="91" t="s">
        <v>111</v>
      </c>
      <c r="D8" s="92" t="s">
        <v>1288</v>
      </c>
      <c r="E8" s="92" t="s">
        <v>125</v>
      </c>
      <c r="F8" s="92" t="s">
        <v>113</v>
      </c>
      <c r="G8" s="92" t="s">
        <v>215</v>
      </c>
      <c r="H8" s="92" t="s">
        <v>180</v>
      </c>
      <c r="I8" s="93" t="s">
        <v>163</v>
      </c>
      <c r="J8" s="93" t="s">
        <v>116</v>
      </c>
      <c r="K8" s="93" t="s">
        <v>164</v>
      </c>
      <c r="L8" s="93" t="s">
        <v>165</v>
      </c>
      <c r="M8" s="94" t="s">
        <v>118</v>
      </c>
      <c r="N8" s="93" t="s">
        <v>166</v>
      </c>
      <c r="O8" s="95" t="s">
        <v>117</v>
      </c>
      <c r="P8" s="93" t="s">
        <v>167</v>
      </c>
      <c r="Q8" s="96" t="s">
        <v>168</v>
      </c>
    </row>
    <row r="9" spans="1:17" s="376" customFormat="1" ht="15">
      <c r="A9" s="367">
        <v>1</v>
      </c>
      <c r="B9" s="368" t="s">
        <v>1329</v>
      </c>
      <c r="C9" s="369">
        <v>50703</v>
      </c>
      <c r="D9" s="370">
        <f>ROUND(C9*119%,0)</f>
        <v>60337</v>
      </c>
      <c r="E9" s="371">
        <f>ROUND(C9*10%,0)</f>
        <v>5070</v>
      </c>
      <c r="F9" s="370">
        <v>0</v>
      </c>
      <c r="G9" s="370">
        <v>0</v>
      </c>
      <c r="H9" s="369">
        <v>60</v>
      </c>
      <c r="I9" s="372">
        <f>SUM(C9:H9)</f>
        <v>116170</v>
      </c>
      <c r="J9" s="373">
        <v>200</v>
      </c>
      <c r="K9" s="371">
        <v>2000</v>
      </c>
      <c r="L9" s="370">
        <v>800</v>
      </c>
      <c r="M9" s="371">
        <v>797</v>
      </c>
      <c r="N9" s="369">
        <v>240</v>
      </c>
      <c r="O9" s="374">
        <v>15000</v>
      </c>
      <c r="P9" s="375">
        <f>SUM(J9:O9)</f>
        <v>19037</v>
      </c>
      <c r="Q9" s="372">
        <f>I9-P9</f>
        <v>97133</v>
      </c>
    </row>
    <row r="10" spans="1:20" s="376" customFormat="1" ht="15">
      <c r="A10" s="377">
        <v>2</v>
      </c>
      <c r="B10" s="378" t="s">
        <v>1151</v>
      </c>
      <c r="C10" s="369">
        <v>52224</v>
      </c>
      <c r="D10" s="370">
        <f>ROUND(C10*119%,0)</f>
        <v>62147</v>
      </c>
      <c r="E10" s="371">
        <f>ROUND(C10*10%,0)</f>
        <v>5222</v>
      </c>
      <c r="F10" s="370">
        <v>0</v>
      </c>
      <c r="G10" s="370">
        <v>0</v>
      </c>
      <c r="H10" s="369">
        <v>60</v>
      </c>
      <c r="I10" s="372">
        <f>SUM(C10:H10)</f>
        <v>119653</v>
      </c>
      <c r="J10" s="379">
        <v>200</v>
      </c>
      <c r="K10" s="379">
        <v>7000</v>
      </c>
      <c r="L10" s="379">
        <v>200</v>
      </c>
      <c r="M10" s="379">
        <v>538</v>
      </c>
      <c r="N10" s="379">
        <v>240</v>
      </c>
      <c r="O10" s="380">
        <v>15000</v>
      </c>
      <c r="P10" s="375">
        <f>SUM(J10:O10)</f>
        <v>23178</v>
      </c>
      <c r="Q10" s="372">
        <f>I10-P10</f>
        <v>96475</v>
      </c>
      <c r="S10" s="381" t="e">
        <f>#REF!+I10</f>
        <v>#REF!</v>
      </c>
      <c r="T10" s="381" t="e">
        <f>S10-#REF!</f>
        <v>#REF!</v>
      </c>
    </row>
    <row r="11" spans="1:20" s="376" customFormat="1" ht="15">
      <c r="A11" s="379">
        <v>3</v>
      </c>
      <c r="B11" s="378" t="s">
        <v>1152</v>
      </c>
      <c r="C11" s="382">
        <v>58838</v>
      </c>
      <c r="D11" s="370">
        <f>ROUND(C11*119%,0)</f>
        <v>70017</v>
      </c>
      <c r="E11" s="371">
        <f>ROUND(C11*10%,0)</f>
        <v>5884</v>
      </c>
      <c r="F11" s="370">
        <v>0</v>
      </c>
      <c r="G11" s="370">
        <v>0</v>
      </c>
      <c r="H11" s="369">
        <v>160</v>
      </c>
      <c r="I11" s="372">
        <f>SUM(C11:H11)</f>
        <v>134899</v>
      </c>
      <c r="J11" s="379">
        <v>200</v>
      </c>
      <c r="K11" s="379">
        <v>15000</v>
      </c>
      <c r="L11" s="379">
        <v>0</v>
      </c>
      <c r="M11" s="379">
        <v>0</v>
      </c>
      <c r="N11" s="379">
        <v>240</v>
      </c>
      <c r="O11" s="380">
        <v>15000</v>
      </c>
      <c r="P11" s="375">
        <f>SUM(J11:O11)</f>
        <v>30440</v>
      </c>
      <c r="Q11" s="372">
        <f>I11-P11</f>
        <v>104459</v>
      </c>
      <c r="S11" s="381" t="e">
        <f>#REF!+I11</f>
        <v>#REF!</v>
      </c>
      <c r="T11" s="381" t="e">
        <f>S11-#REF!</f>
        <v>#REF!</v>
      </c>
    </row>
    <row r="12" spans="1:20" s="376" customFormat="1" ht="15">
      <c r="A12" s="377">
        <v>4</v>
      </c>
      <c r="B12" s="378" t="s">
        <v>1153</v>
      </c>
      <c r="C12" s="369">
        <v>52224</v>
      </c>
      <c r="D12" s="370">
        <f>ROUND(C12*119%,0)</f>
        <v>62147</v>
      </c>
      <c r="E12" s="371">
        <f>ROUND(C12*10%,0)</f>
        <v>5222</v>
      </c>
      <c r="F12" s="370">
        <v>15000</v>
      </c>
      <c r="G12" s="370">
        <v>0</v>
      </c>
      <c r="H12" s="369">
        <v>0</v>
      </c>
      <c r="I12" s="372">
        <f>SUM(C12:H12)</f>
        <v>134593</v>
      </c>
      <c r="J12" s="379">
        <v>200</v>
      </c>
      <c r="K12" s="379">
        <v>8000</v>
      </c>
      <c r="L12" s="379">
        <v>700</v>
      </c>
      <c r="M12" s="379">
        <v>856</v>
      </c>
      <c r="N12" s="379">
        <v>240</v>
      </c>
      <c r="O12" s="380">
        <v>15000</v>
      </c>
      <c r="P12" s="375">
        <f>SUM(J12:O12)</f>
        <v>24996</v>
      </c>
      <c r="Q12" s="372">
        <f>I12-P12</f>
        <v>109597</v>
      </c>
      <c r="S12" s="381" t="e">
        <f>#REF!+I12</f>
        <v>#REF!</v>
      </c>
      <c r="T12" s="381" t="e">
        <f>S12-#REF!</f>
        <v>#REF!</v>
      </c>
    </row>
    <row r="13" spans="1:19" s="376" customFormat="1" ht="15.75" thickBot="1">
      <c r="A13" s="383">
        <v>5</v>
      </c>
      <c r="B13" s="384" t="s">
        <v>1209</v>
      </c>
      <c r="C13" s="382">
        <v>52224</v>
      </c>
      <c r="D13" s="370">
        <f>ROUND(C13*119%,0)</f>
        <v>62147</v>
      </c>
      <c r="E13" s="385">
        <f>ROUND(C13*10%,0)</f>
        <v>5222</v>
      </c>
      <c r="F13" s="379">
        <v>0</v>
      </c>
      <c r="G13" s="379">
        <v>0</v>
      </c>
      <c r="H13" s="382">
        <v>0</v>
      </c>
      <c r="I13" s="372">
        <f>SUM(C13:H13)</f>
        <v>119593</v>
      </c>
      <c r="J13" s="386">
        <v>200</v>
      </c>
      <c r="K13" s="385">
        <v>2000</v>
      </c>
      <c r="L13" s="379">
        <v>1750</v>
      </c>
      <c r="M13" s="385">
        <v>0</v>
      </c>
      <c r="N13" s="382">
        <v>240</v>
      </c>
      <c r="O13" s="374">
        <v>12000</v>
      </c>
      <c r="P13" s="375">
        <f>SUM(J13:O13)</f>
        <v>16190</v>
      </c>
      <c r="Q13" s="372">
        <f>I13-P13</f>
        <v>103403</v>
      </c>
      <c r="S13" s="381"/>
    </row>
    <row r="14" spans="1:19" ht="18" customHeight="1" thickBot="1">
      <c r="A14" s="463" t="s">
        <v>163</v>
      </c>
      <c r="B14" s="464"/>
      <c r="C14" s="97">
        <f>SUM(C9:C13)</f>
        <v>266213</v>
      </c>
      <c r="D14" s="97">
        <f aca="true" t="shared" si="0" ref="D14:Q14">SUM(D9:D13)</f>
        <v>316795</v>
      </c>
      <c r="E14" s="97">
        <f t="shared" si="0"/>
        <v>26620</v>
      </c>
      <c r="F14" s="97">
        <f t="shared" si="0"/>
        <v>15000</v>
      </c>
      <c r="G14" s="97">
        <f t="shared" si="0"/>
        <v>0</v>
      </c>
      <c r="H14" s="97">
        <f t="shared" si="0"/>
        <v>280</v>
      </c>
      <c r="I14" s="97">
        <f t="shared" si="0"/>
        <v>624908</v>
      </c>
      <c r="J14" s="97">
        <f t="shared" si="0"/>
        <v>1000</v>
      </c>
      <c r="K14" s="97">
        <f t="shared" si="0"/>
        <v>34000</v>
      </c>
      <c r="L14" s="97">
        <f t="shared" si="0"/>
        <v>3450</v>
      </c>
      <c r="M14" s="97">
        <f t="shared" si="0"/>
        <v>2191</v>
      </c>
      <c r="N14" s="97">
        <f t="shared" si="0"/>
        <v>1200</v>
      </c>
      <c r="O14" s="97">
        <f t="shared" si="0"/>
        <v>72000</v>
      </c>
      <c r="P14" s="97">
        <f t="shared" si="0"/>
        <v>113841</v>
      </c>
      <c r="Q14" s="97">
        <f t="shared" si="0"/>
        <v>511067</v>
      </c>
      <c r="S14" s="315"/>
    </row>
    <row r="15" spans="1:20" ht="15">
      <c r="A15" s="98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T15" s="315"/>
    </row>
    <row r="16" spans="1:17" ht="16.5">
      <c r="A16" s="100" t="s">
        <v>1330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7.25" thickBot="1">
      <c r="A17" s="100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20" ht="15.75" thickBot="1">
      <c r="A18" s="101"/>
      <c r="B18" s="102" t="s">
        <v>171</v>
      </c>
      <c r="C18" s="103" t="s">
        <v>170</v>
      </c>
      <c r="D18" s="104" t="s">
        <v>197</v>
      </c>
      <c r="E18" s="105" t="s">
        <v>193</v>
      </c>
      <c r="F18" s="98"/>
      <c r="G18" s="106"/>
      <c r="H18" s="106"/>
      <c r="I18" s="107"/>
      <c r="J18" s="101"/>
      <c r="K18" s="107"/>
      <c r="L18" s="107"/>
      <c r="M18" s="101"/>
      <c r="N18" s="101"/>
      <c r="O18" s="108"/>
      <c r="P18" s="109"/>
      <c r="Q18" s="109"/>
      <c r="T18" s="315"/>
    </row>
    <row r="19" spans="1:17" ht="15">
      <c r="A19" s="101"/>
      <c r="B19" s="110" t="s">
        <v>172</v>
      </c>
      <c r="C19" s="111">
        <f>+Q14</f>
        <v>511067</v>
      </c>
      <c r="D19" s="112">
        <f>+'Abstract-Non Teach'!E16</f>
      </c>
      <c r="E19" s="113"/>
      <c r="F19" s="114"/>
      <c r="G19" s="114"/>
      <c r="H19" s="114"/>
      <c r="I19" s="101"/>
      <c r="J19" s="101"/>
      <c r="K19" s="101"/>
      <c r="L19" s="101"/>
      <c r="M19" s="101"/>
      <c r="N19" s="101"/>
      <c r="O19" s="462" t="s">
        <v>174</v>
      </c>
      <c r="P19" s="462"/>
      <c r="Q19" s="462"/>
    </row>
    <row r="20" spans="1:17" ht="15">
      <c r="A20" s="101"/>
      <c r="B20" s="115" t="s">
        <v>116</v>
      </c>
      <c r="C20" s="116">
        <f>+J14</f>
        <v>1000</v>
      </c>
      <c r="D20" s="117">
        <f>+'Abstract-Non Teach'!E17</f>
      </c>
      <c r="E20" s="118"/>
      <c r="F20" s="114"/>
      <c r="G20" s="114"/>
      <c r="H20" s="318"/>
      <c r="I20" s="107"/>
      <c r="J20" s="101"/>
      <c r="K20" s="101"/>
      <c r="L20" s="101"/>
      <c r="M20" s="101"/>
      <c r="N20" s="101"/>
      <c r="O20" s="462" t="s">
        <v>175</v>
      </c>
      <c r="P20" s="462"/>
      <c r="Q20" s="462"/>
    </row>
    <row r="21" spans="1:17" ht="15">
      <c r="A21" s="101"/>
      <c r="B21" s="115" t="s">
        <v>164</v>
      </c>
      <c r="C21" s="116">
        <f>+K14</f>
        <v>34000</v>
      </c>
      <c r="D21" s="117"/>
      <c r="E21" s="118"/>
      <c r="F21" s="114"/>
      <c r="G21" s="114"/>
      <c r="H21" s="114"/>
      <c r="I21" s="107"/>
      <c r="J21" s="101"/>
      <c r="K21" s="101"/>
      <c r="L21" s="101"/>
      <c r="M21" s="101"/>
      <c r="N21" s="101"/>
      <c r="O21" s="462" t="s">
        <v>176</v>
      </c>
      <c r="P21" s="462"/>
      <c r="Q21" s="462"/>
    </row>
    <row r="22" spans="1:17" ht="15">
      <c r="A22" s="101"/>
      <c r="B22" s="115" t="s">
        <v>165</v>
      </c>
      <c r="C22" s="116">
        <f>+L14</f>
        <v>3450</v>
      </c>
      <c r="D22" s="117"/>
      <c r="E22" s="118"/>
      <c r="F22" s="114"/>
      <c r="G22" s="114"/>
      <c r="H22" s="114"/>
      <c r="I22" s="101"/>
      <c r="J22" s="101"/>
      <c r="K22" s="101"/>
      <c r="L22" s="101"/>
      <c r="M22" s="101"/>
      <c r="N22" s="101"/>
      <c r="O22" s="119"/>
      <c r="P22" s="120"/>
      <c r="Q22" s="120"/>
    </row>
    <row r="23" spans="1:20" ht="15">
      <c r="A23" s="101"/>
      <c r="B23" s="115" t="s">
        <v>118</v>
      </c>
      <c r="C23" s="116">
        <f>+M14</f>
        <v>2191</v>
      </c>
      <c r="D23" s="117"/>
      <c r="E23" s="118"/>
      <c r="F23" s="114"/>
      <c r="G23" s="114"/>
      <c r="H23" s="114"/>
      <c r="I23" s="101"/>
      <c r="J23" s="101"/>
      <c r="K23" s="101"/>
      <c r="L23" s="101"/>
      <c r="M23" s="101"/>
      <c r="N23" s="101"/>
      <c r="O23" s="119"/>
      <c r="P23" s="120"/>
      <c r="Q23" s="120"/>
      <c r="T23" s="315"/>
    </row>
    <row r="24" spans="1:17" ht="15">
      <c r="A24" s="101"/>
      <c r="B24" s="115" t="s">
        <v>166</v>
      </c>
      <c r="C24" s="116">
        <f>+N14</f>
        <v>1200</v>
      </c>
      <c r="D24" s="117"/>
      <c r="E24" s="118"/>
      <c r="F24" s="114"/>
      <c r="G24" s="114"/>
      <c r="H24" s="114"/>
      <c r="I24" s="101"/>
      <c r="N24" s="107"/>
      <c r="O24" s="119"/>
      <c r="P24" s="120"/>
      <c r="Q24" s="120"/>
    </row>
    <row r="25" spans="1:17" ht="15.75" thickBot="1">
      <c r="A25" s="101"/>
      <c r="B25" s="115" t="s">
        <v>117</v>
      </c>
      <c r="C25" s="116">
        <f>+O14</f>
        <v>72000</v>
      </c>
      <c r="D25" s="117">
        <f>+'Abstract-Non Teach'!E20</f>
      </c>
      <c r="E25" s="118"/>
      <c r="F25" s="114"/>
      <c r="G25" s="114"/>
      <c r="H25" s="114"/>
      <c r="I25" s="101"/>
      <c r="N25" s="101"/>
      <c r="O25" s="119"/>
      <c r="P25" s="322"/>
      <c r="Q25" s="120"/>
    </row>
    <row r="26" spans="1:17" ht="15.75" thickBot="1">
      <c r="A26" s="101"/>
      <c r="B26" s="121" t="s">
        <v>173</v>
      </c>
      <c r="C26" s="122">
        <f>SUM(C19:C25)</f>
        <v>624908</v>
      </c>
      <c r="D26" s="123"/>
      <c r="E26" s="124"/>
      <c r="F26" s="114"/>
      <c r="G26" s="114"/>
      <c r="H26" s="114"/>
      <c r="I26" s="101"/>
      <c r="N26" s="101"/>
      <c r="O26" s="119"/>
      <c r="P26" s="120"/>
      <c r="Q26" s="120"/>
    </row>
    <row r="40" spans="8:10" ht="15">
      <c r="H40" s="125"/>
      <c r="I40" s="125"/>
      <c r="J40" s="125"/>
    </row>
    <row r="46" spans="24:38" ht="15">
      <c r="X46" s="462" t="s">
        <v>122</v>
      </c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</row>
    <row r="48" ht="14.25" thickBot="1"/>
    <row r="49" spans="24:38" ht="45.75" thickBot="1">
      <c r="X49" s="93" t="s">
        <v>181</v>
      </c>
      <c r="Y49" s="90" t="s">
        <v>169</v>
      </c>
      <c r="Z49" s="91" t="s">
        <v>111</v>
      </c>
      <c r="AA49" s="92" t="s">
        <v>208</v>
      </c>
      <c r="AB49" s="92" t="s">
        <v>125</v>
      </c>
      <c r="AC49" s="92" t="s">
        <v>113</v>
      </c>
      <c r="AD49" s="91" t="s">
        <v>211</v>
      </c>
      <c r="AE49" s="92" t="s">
        <v>126</v>
      </c>
      <c r="AF49" s="93" t="s">
        <v>163</v>
      </c>
      <c r="AG49" s="93" t="s">
        <v>116</v>
      </c>
      <c r="AH49" s="93" t="s">
        <v>164</v>
      </c>
      <c r="AI49" s="93" t="s">
        <v>165</v>
      </c>
      <c r="AJ49" s="93" t="s">
        <v>166</v>
      </c>
      <c r="AK49" s="93" t="s">
        <v>167</v>
      </c>
      <c r="AL49" s="96" t="s">
        <v>168</v>
      </c>
    </row>
    <row r="50" spans="24:38" s="120" customFormat="1" ht="27.75" thickBot="1">
      <c r="X50" s="126">
        <v>1</v>
      </c>
      <c r="Y50" s="127" t="s">
        <v>209</v>
      </c>
      <c r="Z50" s="126">
        <f>ROUND(20400/31*11,0)</f>
        <v>7239</v>
      </c>
      <c r="AA50" s="128">
        <f>ROUND(Z50*177%,0)</f>
        <v>12813</v>
      </c>
      <c r="AB50" s="129">
        <f>ROUND(Z50*10%,0)</f>
        <v>724</v>
      </c>
      <c r="AC50" s="126">
        <f>ROUND(17000/31*11,0)</f>
        <v>6032</v>
      </c>
      <c r="AD50" s="128">
        <f>ROUND(Z50*12%,0)</f>
        <v>869</v>
      </c>
      <c r="AE50" s="126">
        <f>ROUND(Z50*40%,0)</f>
        <v>2896</v>
      </c>
      <c r="AF50" s="130">
        <f>SUM(Z50:AE50)</f>
        <v>30573</v>
      </c>
      <c r="AG50" s="131"/>
      <c r="AH50" s="132"/>
      <c r="AI50" s="89"/>
      <c r="AJ50" s="89"/>
      <c r="AK50" s="133">
        <f>SUM(AG50:AJ50)</f>
        <v>0</v>
      </c>
      <c r="AL50" s="134">
        <f>AF50-AK50</f>
        <v>30573</v>
      </c>
    </row>
    <row r="51" spans="24:38" s="120" customFormat="1" ht="27.75" thickBot="1">
      <c r="X51" s="135">
        <v>2</v>
      </c>
      <c r="Y51" s="136" t="s">
        <v>210</v>
      </c>
      <c r="Z51" s="137">
        <v>20400</v>
      </c>
      <c r="AA51" s="126">
        <f>ROUND(Z51*177%,0)</f>
        <v>36108</v>
      </c>
      <c r="AB51" s="128">
        <f>ROUND(Z51*10%,0)</f>
        <v>2040</v>
      </c>
      <c r="AC51" s="126">
        <v>17000</v>
      </c>
      <c r="AD51" s="128">
        <f>ROUND(Z51*12%,0)</f>
        <v>2448</v>
      </c>
      <c r="AE51" s="126">
        <f>ROUND(Z51*40%,0)</f>
        <v>8160</v>
      </c>
      <c r="AF51" s="134">
        <f>SUM(Z51:AE51)</f>
        <v>86156</v>
      </c>
      <c r="AG51" s="138">
        <v>200</v>
      </c>
      <c r="AH51" s="139">
        <v>1200</v>
      </c>
      <c r="AI51" s="135">
        <v>800</v>
      </c>
      <c r="AJ51" s="135">
        <v>240</v>
      </c>
      <c r="AK51" s="133">
        <f>SUM(AG51:AJ51)</f>
        <v>2440</v>
      </c>
      <c r="AL51" s="134">
        <f>AF51-AK51</f>
        <v>83716</v>
      </c>
    </row>
    <row r="52" spans="24:38" s="327" customFormat="1" ht="15.75" thickBot="1">
      <c r="X52" s="140"/>
      <c r="Y52" s="105" t="s">
        <v>188</v>
      </c>
      <c r="Z52" s="104">
        <f aca="true" t="shared" si="1" ref="Z52:AL52">SUM(Z50:Z51)</f>
        <v>27639</v>
      </c>
      <c r="AA52" s="105">
        <f t="shared" si="1"/>
        <v>48921</v>
      </c>
      <c r="AB52" s="104">
        <f t="shared" si="1"/>
        <v>2764</v>
      </c>
      <c r="AC52" s="105">
        <f t="shared" si="1"/>
        <v>23032</v>
      </c>
      <c r="AD52" s="105">
        <f t="shared" si="1"/>
        <v>3317</v>
      </c>
      <c r="AE52" s="105">
        <f t="shared" si="1"/>
        <v>11056</v>
      </c>
      <c r="AF52" s="105">
        <f t="shared" si="1"/>
        <v>116729</v>
      </c>
      <c r="AG52" s="105">
        <f t="shared" si="1"/>
        <v>200</v>
      </c>
      <c r="AH52" s="105">
        <f t="shared" si="1"/>
        <v>1200</v>
      </c>
      <c r="AI52" s="105">
        <f t="shared" si="1"/>
        <v>800</v>
      </c>
      <c r="AJ52" s="105">
        <f t="shared" si="1"/>
        <v>240</v>
      </c>
      <c r="AK52" s="105">
        <f t="shared" si="1"/>
        <v>2440</v>
      </c>
      <c r="AL52" s="141">
        <f t="shared" si="1"/>
        <v>114289</v>
      </c>
    </row>
  </sheetData>
  <sheetProtection/>
  <mergeCells count="9">
    <mergeCell ref="A4:Q4"/>
    <mergeCell ref="A5:Q5"/>
    <mergeCell ref="A7:Q7"/>
    <mergeCell ref="A14:B14"/>
    <mergeCell ref="A6:Q6"/>
    <mergeCell ref="X46:AL46"/>
    <mergeCell ref="O19:Q19"/>
    <mergeCell ref="O20:Q20"/>
    <mergeCell ref="O21:Q21"/>
  </mergeCells>
  <printOptions horizontalCentered="1"/>
  <pageMargins left="0.14" right="0.13" top="0.19" bottom="1" header="0.15" footer="0.5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57"/>
  <sheetViews>
    <sheetView zoomScalePageLayoutView="0" workbookViewId="0" topLeftCell="C4">
      <selection activeCell="R11" sqref="R11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3" width="11.28125" style="9" bestFit="1" customWidth="1"/>
    <col min="4" max="4" width="10.00390625" style="9" bestFit="1" customWidth="1"/>
    <col min="5" max="5" width="10.28125" style="9" customWidth="1"/>
    <col min="6" max="6" width="8.140625" style="9" customWidth="1"/>
    <col min="7" max="8" width="6.00390625" style="9" bestFit="1" customWidth="1"/>
    <col min="9" max="9" width="9.00390625" style="283" bestFit="1" customWidth="1"/>
    <col min="10" max="10" width="7.57421875" style="9" bestFit="1" customWidth="1"/>
    <col min="11" max="11" width="6.140625" style="9" customWidth="1"/>
    <col min="12" max="12" width="5.00390625" style="9" bestFit="1" customWidth="1"/>
    <col min="13" max="13" width="8.57421875" style="9" bestFit="1" customWidth="1"/>
    <col min="14" max="16" width="7.00390625" style="9" customWidth="1"/>
    <col min="17" max="17" width="8.8515625" style="9" bestFit="1" customWidth="1"/>
    <col min="18" max="18" width="5.57421875" style="9" bestFit="1" customWidth="1"/>
    <col min="19" max="19" width="7.00390625" style="9" bestFit="1" customWidth="1"/>
    <col min="20" max="20" width="7.8515625" style="9" customWidth="1"/>
    <col min="21" max="21" width="7.00390625" style="9" bestFit="1" customWidth="1"/>
    <col min="22" max="22" width="6.8515625" style="9" bestFit="1" customWidth="1"/>
    <col min="23" max="23" width="8.00390625" style="9" bestFit="1" customWidth="1"/>
    <col min="24" max="24" width="9.00390625" style="9" bestFit="1" customWidth="1"/>
  </cols>
  <sheetData>
    <row r="3" spans="1:24" ht="12.75">
      <c r="A3" s="447" t="s">
        <v>204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</row>
    <row r="4" spans="1:9" ht="8.25" customHeight="1">
      <c r="A4" s="9"/>
      <c r="B4" s="9"/>
      <c r="I4" s="9"/>
    </row>
    <row r="5" spans="1:24" ht="14.25" customHeight="1">
      <c r="A5" s="455" t="s">
        <v>1417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</row>
    <row r="6" ht="9.75" customHeight="1" thickBot="1"/>
    <row r="7" spans="1:24" s="7" customFormat="1" ht="45.75" thickBot="1">
      <c r="A7" s="19" t="s">
        <v>108</v>
      </c>
      <c r="B7" s="22" t="s">
        <v>183</v>
      </c>
      <c r="C7" s="23" t="s">
        <v>111</v>
      </c>
      <c r="D7" s="18" t="s">
        <v>177</v>
      </c>
      <c r="E7" s="23" t="s">
        <v>178</v>
      </c>
      <c r="F7" s="18" t="s">
        <v>179</v>
      </c>
      <c r="G7" s="18" t="s">
        <v>88</v>
      </c>
      <c r="H7" s="18" t="s">
        <v>212</v>
      </c>
      <c r="I7" s="63" t="s">
        <v>115</v>
      </c>
      <c r="J7" s="25" t="s">
        <v>116</v>
      </c>
      <c r="K7" s="24" t="s">
        <v>165</v>
      </c>
      <c r="L7" s="25" t="s">
        <v>166</v>
      </c>
      <c r="M7" s="18" t="s">
        <v>117</v>
      </c>
      <c r="N7" s="18" t="s">
        <v>77</v>
      </c>
      <c r="O7" s="18" t="s">
        <v>73</v>
      </c>
      <c r="P7" s="18" t="s">
        <v>78</v>
      </c>
      <c r="Q7" s="18" t="s">
        <v>41</v>
      </c>
      <c r="R7" s="18" t="s">
        <v>244</v>
      </c>
      <c r="S7" s="18" t="s">
        <v>189</v>
      </c>
      <c r="T7" s="18" t="s">
        <v>112</v>
      </c>
      <c r="U7" s="18" t="s">
        <v>118</v>
      </c>
      <c r="V7" s="23" t="s">
        <v>114</v>
      </c>
      <c r="W7" s="18" t="s">
        <v>119</v>
      </c>
      <c r="X7" s="26" t="s">
        <v>120</v>
      </c>
    </row>
    <row r="8" spans="1:24" s="11" customFormat="1" ht="30" customHeight="1" thickBot="1">
      <c r="A8" s="67">
        <v>1</v>
      </c>
      <c r="B8" s="68" t="s">
        <v>72</v>
      </c>
      <c r="C8" s="70">
        <f>+'Teaching &amp; Non Teaching'!D391</f>
        <v>4265705</v>
      </c>
      <c r="D8" s="69">
        <f>+'Teaching &amp; Non Teaching'!E391</f>
        <v>590617</v>
      </c>
      <c r="E8" s="70">
        <f>+'Teaching &amp; Non Teaching'!F391</f>
        <v>181721</v>
      </c>
      <c r="F8" s="69">
        <f>+'Teaching &amp; Non Teaching'!G391</f>
        <v>8772</v>
      </c>
      <c r="G8" s="69">
        <f>+'Teaching &amp; Non Teaching'!H391</f>
        <v>23069</v>
      </c>
      <c r="H8" s="69">
        <f>+'Teaching &amp; Non Teaching'!I391</f>
        <v>3290</v>
      </c>
      <c r="I8" s="84">
        <f>SUM(C8:H8)</f>
        <v>5073174</v>
      </c>
      <c r="J8" s="72">
        <f>+'Teaching &amp; Non Teaching'!K391</f>
        <v>24200</v>
      </c>
      <c r="K8" s="73">
        <f>+'Teaching &amp; Non Teaching'!U391</f>
        <v>510</v>
      </c>
      <c r="L8" s="72">
        <f>+'Teaching &amp; Non Teaching'!T391</f>
        <v>120</v>
      </c>
      <c r="M8" s="73">
        <f>+'Teaching &amp; Non Teaching'!M391</f>
        <v>5000</v>
      </c>
      <c r="N8" s="73">
        <f>+'Teaching &amp; Non Teaching'!N391</f>
        <v>5734</v>
      </c>
      <c r="O8" s="73">
        <f>+'Teaching &amp; Non Teaching'!O391</f>
        <v>0</v>
      </c>
      <c r="P8" s="73">
        <f>+'Teaching &amp; Non Teaching'!P391</f>
        <v>1525</v>
      </c>
      <c r="Q8" s="73">
        <f>+'Teaching &amp; Non Teaching'!Q391</f>
        <v>9000</v>
      </c>
      <c r="R8" s="75">
        <f>+'Teaching &amp; Non Teaching'!R391</f>
        <v>200</v>
      </c>
      <c r="S8" s="73">
        <f>+'Teaching &amp; Non Teaching'!D404</f>
        <v>201897</v>
      </c>
      <c r="T8" s="73">
        <f>+'Teaching &amp; Non Teaching'!L391</f>
        <v>171956</v>
      </c>
      <c r="U8" s="73">
        <f>+'Teaching &amp; Non Teaching'!V391</f>
        <v>287760</v>
      </c>
      <c r="V8" s="70">
        <v>0</v>
      </c>
      <c r="W8" s="69">
        <f>SUM(J8:V8)</f>
        <v>707902</v>
      </c>
      <c r="X8" s="300">
        <f>I8-W8</f>
        <v>4365272</v>
      </c>
    </row>
    <row r="9" spans="1:24" s="11" customFormat="1" ht="43.5" customHeight="1" thickBot="1">
      <c r="A9" s="58">
        <v>2</v>
      </c>
      <c r="B9" s="60" t="s">
        <v>321</v>
      </c>
      <c r="C9" s="64">
        <f>+NRC!E19</f>
        <v>215387</v>
      </c>
      <c r="D9" s="65"/>
      <c r="E9" s="64"/>
      <c r="F9" s="65"/>
      <c r="G9" s="65"/>
      <c r="H9" s="65"/>
      <c r="I9" s="73">
        <f>SUM(C9:H9)</f>
        <v>215387</v>
      </c>
      <c r="J9" s="266">
        <f>NRC!F19</f>
        <v>400</v>
      </c>
      <c r="K9" s="84"/>
      <c r="L9" s="83"/>
      <c r="M9" s="85">
        <f>NRC!G19</f>
        <v>2000</v>
      </c>
      <c r="N9" s="84"/>
      <c r="O9" s="84"/>
      <c r="P9" s="84"/>
      <c r="Q9" s="84"/>
      <c r="R9" s="85"/>
      <c r="S9" s="85">
        <f>NRC!I19</f>
        <v>16711</v>
      </c>
      <c r="T9" s="85">
        <f>NRC!H19</f>
        <v>1300</v>
      </c>
      <c r="U9" s="84"/>
      <c r="V9" s="64"/>
      <c r="W9" s="65">
        <f>SUM(J9:V9)</f>
        <v>20411</v>
      </c>
      <c r="X9" s="84">
        <f>I9-W9</f>
        <v>194976</v>
      </c>
    </row>
    <row r="10" spans="1:24" s="11" customFormat="1" ht="26.25" thickBot="1">
      <c r="A10" s="58">
        <v>3</v>
      </c>
      <c r="B10" s="60" t="s">
        <v>105</v>
      </c>
      <c r="C10" s="62">
        <f>+'Teaching &amp; Non Teaching'!D409</f>
        <v>229052</v>
      </c>
      <c r="D10" s="61"/>
      <c r="E10" s="62"/>
      <c r="F10" s="61"/>
      <c r="G10" s="61"/>
      <c r="H10" s="61"/>
      <c r="I10" s="84">
        <f>SUM(C10:H10)</f>
        <v>229052</v>
      </c>
      <c r="J10" s="62"/>
      <c r="K10" s="61"/>
      <c r="L10" s="62"/>
      <c r="M10" s="61"/>
      <c r="N10" s="61"/>
      <c r="O10" s="61"/>
      <c r="P10" s="61"/>
      <c r="Q10" s="61"/>
      <c r="R10" s="61"/>
      <c r="S10" s="65">
        <f>+'Teaching &amp; Non Teaching'!Y391</f>
        <v>229052</v>
      </c>
      <c r="T10" s="61"/>
      <c r="U10" s="65"/>
      <c r="V10" s="62"/>
      <c r="W10" s="65">
        <f>SUM(J10:V10)</f>
        <v>229052</v>
      </c>
      <c r="X10" s="301">
        <f>I10-W10</f>
        <v>0</v>
      </c>
    </row>
    <row r="11" spans="1:24" s="11" customFormat="1" ht="26.25" thickBot="1">
      <c r="A11" s="58">
        <v>4</v>
      </c>
      <c r="B11" s="60" t="s">
        <v>753</v>
      </c>
      <c r="C11" s="302">
        <f>NRC!L19</f>
        <v>18952</v>
      </c>
      <c r="D11" s="61"/>
      <c r="E11" s="62"/>
      <c r="F11" s="61"/>
      <c r="G11" s="61"/>
      <c r="H11" s="61"/>
      <c r="I11" s="84">
        <f>SUM(C11:H11)</f>
        <v>18952</v>
      </c>
      <c r="J11" s="62"/>
      <c r="K11" s="61"/>
      <c r="L11" s="62"/>
      <c r="M11" s="61"/>
      <c r="N11" s="61"/>
      <c r="O11" s="61"/>
      <c r="P11" s="61"/>
      <c r="Q11" s="61"/>
      <c r="R11" s="61"/>
      <c r="S11" s="65">
        <f>I11</f>
        <v>18952</v>
      </c>
      <c r="T11" s="61"/>
      <c r="U11" s="65"/>
      <c r="V11" s="62"/>
      <c r="W11" s="65">
        <f>SUM(J11:V11)</f>
        <v>18952</v>
      </c>
      <c r="X11" s="301">
        <f>I11-W11</f>
        <v>0</v>
      </c>
    </row>
    <row r="12" spans="1:24" s="11" customFormat="1" ht="13.5" thickBot="1">
      <c r="A12" s="59"/>
      <c r="B12" s="57" t="s">
        <v>190</v>
      </c>
      <c r="C12" s="267">
        <f>SUM(C8:C11)</f>
        <v>4729096</v>
      </c>
      <c r="D12" s="267">
        <f aca="true" t="shared" si="0" ref="D12:X12">SUM(D8:D11)</f>
        <v>590617</v>
      </c>
      <c r="E12" s="267">
        <f t="shared" si="0"/>
        <v>181721</v>
      </c>
      <c r="F12" s="267">
        <f t="shared" si="0"/>
        <v>8772</v>
      </c>
      <c r="G12" s="267">
        <f t="shared" si="0"/>
        <v>23069</v>
      </c>
      <c r="H12" s="267">
        <f t="shared" si="0"/>
        <v>3290</v>
      </c>
      <c r="I12" s="267">
        <f t="shared" si="0"/>
        <v>5536565</v>
      </c>
      <c r="J12" s="267">
        <f t="shared" si="0"/>
        <v>24600</v>
      </c>
      <c r="K12" s="267">
        <f t="shared" si="0"/>
        <v>510</v>
      </c>
      <c r="L12" s="267">
        <f t="shared" si="0"/>
        <v>120</v>
      </c>
      <c r="M12" s="267">
        <f t="shared" si="0"/>
        <v>7000</v>
      </c>
      <c r="N12" s="267">
        <f t="shared" si="0"/>
        <v>5734</v>
      </c>
      <c r="O12" s="267">
        <f t="shared" si="0"/>
        <v>0</v>
      </c>
      <c r="P12" s="267">
        <f t="shared" si="0"/>
        <v>1525</v>
      </c>
      <c r="Q12" s="267">
        <f t="shared" si="0"/>
        <v>9000</v>
      </c>
      <c r="R12" s="267">
        <f t="shared" si="0"/>
        <v>200</v>
      </c>
      <c r="S12" s="267">
        <f t="shared" si="0"/>
        <v>466612</v>
      </c>
      <c r="T12" s="267">
        <f t="shared" si="0"/>
        <v>173256</v>
      </c>
      <c r="U12" s="267">
        <f t="shared" si="0"/>
        <v>287760</v>
      </c>
      <c r="V12" s="267">
        <f t="shared" si="0"/>
        <v>0</v>
      </c>
      <c r="W12" s="267">
        <f t="shared" si="0"/>
        <v>976317</v>
      </c>
      <c r="X12" s="267">
        <f t="shared" si="0"/>
        <v>4560248</v>
      </c>
    </row>
    <row r="13" spans="1:24" s="11" customFormat="1" ht="12.75">
      <c r="A13" s="274"/>
      <c r="B13" s="275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ht="13.5" thickBot="1"/>
    <row r="15" spans="1:9" s="6" customFormat="1" ht="31.5" customHeight="1" thickBot="1">
      <c r="A15" s="29" t="s">
        <v>108</v>
      </c>
      <c r="B15" s="30" t="s">
        <v>183</v>
      </c>
      <c r="C15" s="31" t="s">
        <v>191</v>
      </c>
      <c r="D15" s="32" t="s">
        <v>202</v>
      </c>
      <c r="E15" s="34" t="s">
        <v>192</v>
      </c>
      <c r="F15" s="30" t="s">
        <v>193</v>
      </c>
      <c r="I15" s="8"/>
    </row>
    <row r="16" spans="1:6" ht="15">
      <c r="A16" s="46">
        <v>1</v>
      </c>
      <c r="B16" s="49" t="s">
        <v>194</v>
      </c>
      <c r="C16" s="290">
        <f>+X12</f>
        <v>4560248</v>
      </c>
      <c r="D16" s="303">
        <f>+C16</f>
        <v>4560248</v>
      </c>
      <c r="E16" s="41" t="s">
        <v>214</v>
      </c>
      <c r="F16" s="38"/>
    </row>
    <row r="17" spans="1:6" ht="25.5">
      <c r="A17" s="39">
        <v>2</v>
      </c>
      <c r="B17" s="50" t="s">
        <v>107</v>
      </c>
      <c r="C17" s="292">
        <f>+J12</f>
        <v>24600</v>
      </c>
      <c r="D17" s="304">
        <f>+C17</f>
        <v>24600</v>
      </c>
      <c r="E17" s="36" t="s">
        <v>214</v>
      </c>
      <c r="F17" s="38"/>
    </row>
    <row r="18" spans="1:9" ht="12.75">
      <c r="A18" s="452">
        <v>3</v>
      </c>
      <c r="B18" s="51" t="s">
        <v>165</v>
      </c>
      <c r="C18" s="292">
        <f>+K12</f>
        <v>510</v>
      </c>
      <c r="D18" s="465">
        <f>C18+C19</f>
        <v>630</v>
      </c>
      <c r="E18" s="467"/>
      <c r="F18" s="38"/>
      <c r="I18" s="295"/>
    </row>
    <row r="19" spans="1:6" ht="12.75">
      <c r="A19" s="453"/>
      <c r="B19" s="51" t="s">
        <v>166</v>
      </c>
      <c r="C19" s="292">
        <f>+L12</f>
        <v>120</v>
      </c>
      <c r="D19" s="466"/>
      <c r="E19" s="468"/>
      <c r="F19" s="38"/>
    </row>
    <row r="20" spans="1:6" ht="38.25">
      <c r="A20" s="39">
        <v>4</v>
      </c>
      <c r="B20" s="50" t="s">
        <v>213</v>
      </c>
      <c r="C20" s="292">
        <f>+M12</f>
        <v>7000</v>
      </c>
      <c r="D20" s="304">
        <f>+C20</f>
        <v>7000</v>
      </c>
      <c r="E20" s="36" t="s">
        <v>214</v>
      </c>
      <c r="F20" s="38"/>
    </row>
    <row r="21" spans="1:6" ht="15">
      <c r="A21" s="42">
        <v>5</v>
      </c>
      <c r="B21" s="50" t="s">
        <v>76</v>
      </c>
      <c r="C21" s="292">
        <f>+N12</f>
        <v>5734</v>
      </c>
      <c r="D21" s="305">
        <f>+N12</f>
        <v>5734</v>
      </c>
      <c r="E21" s="43" t="s">
        <v>42</v>
      </c>
      <c r="F21" s="38"/>
    </row>
    <row r="22" spans="1:6" ht="15">
      <c r="A22" s="42">
        <v>6</v>
      </c>
      <c r="B22" s="50" t="s">
        <v>79</v>
      </c>
      <c r="C22" s="292">
        <f>+P12</f>
        <v>1525</v>
      </c>
      <c r="D22" s="305">
        <f>+P12</f>
        <v>1525</v>
      </c>
      <c r="E22" s="43" t="s">
        <v>42</v>
      </c>
      <c r="F22" s="38"/>
    </row>
    <row r="23" spans="1:6" ht="15">
      <c r="A23" s="42">
        <v>7</v>
      </c>
      <c r="B23" s="50" t="s">
        <v>41</v>
      </c>
      <c r="C23" s="292">
        <f>+Q12</f>
        <v>9000</v>
      </c>
      <c r="D23" s="305">
        <f>+Q12</f>
        <v>9000</v>
      </c>
      <c r="E23" s="43" t="s">
        <v>42</v>
      </c>
      <c r="F23" s="38"/>
    </row>
    <row r="24" spans="1:6" ht="15">
      <c r="A24" s="42">
        <v>8</v>
      </c>
      <c r="B24" s="50" t="s">
        <v>246</v>
      </c>
      <c r="C24" s="292">
        <f>+R12</f>
        <v>200</v>
      </c>
      <c r="D24" s="304">
        <f>+R12</f>
        <v>200</v>
      </c>
      <c r="E24" s="43"/>
      <c r="F24" s="38"/>
    </row>
    <row r="25" spans="1:10" ht="25.5">
      <c r="A25" s="42">
        <v>9</v>
      </c>
      <c r="B25" s="50" t="s">
        <v>45</v>
      </c>
      <c r="C25" s="292">
        <f>+S12</f>
        <v>466612</v>
      </c>
      <c r="D25" s="304">
        <f>+C25</f>
        <v>466612</v>
      </c>
      <c r="E25" s="35"/>
      <c r="F25" s="38"/>
      <c r="H25" s="447"/>
      <c r="I25" s="447"/>
      <c r="J25" s="447"/>
    </row>
    <row r="26" spans="1:10" ht="25.5">
      <c r="A26" s="42">
        <v>10</v>
      </c>
      <c r="B26" s="44" t="s">
        <v>44</v>
      </c>
      <c r="C26" s="292">
        <f>+T12</f>
        <v>173256</v>
      </c>
      <c r="D26" s="469">
        <f>C26+C27</f>
        <v>173256</v>
      </c>
      <c r="E26" s="451" t="s">
        <v>214</v>
      </c>
      <c r="F26" s="38"/>
      <c r="H26" s="446"/>
      <c r="I26" s="446"/>
      <c r="J26" s="446"/>
    </row>
    <row r="27" spans="1:13" ht="12.75">
      <c r="A27" s="42">
        <v>11</v>
      </c>
      <c r="B27" s="66" t="s">
        <v>73</v>
      </c>
      <c r="C27" s="297">
        <f>+O12</f>
        <v>0</v>
      </c>
      <c r="D27" s="466"/>
      <c r="E27" s="470"/>
      <c r="F27" s="38"/>
      <c r="H27" s="446" t="s">
        <v>174</v>
      </c>
      <c r="I27" s="446"/>
      <c r="J27" s="446"/>
      <c r="K27" s="446"/>
      <c r="L27" s="446"/>
      <c r="M27" s="446"/>
    </row>
    <row r="28" spans="1:13" ht="15">
      <c r="A28" s="42">
        <v>12</v>
      </c>
      <c r="B28" s="52" t="s">
        <v>206</v>
      </c>
      <c r="C28" s="297">
        <f>+U12</f>
        <v>287760</v>
      </c>
      <c r="D28" s="306">
        <f>+C28</f>
        <v>287760</v>
      </c>
      <c r="E28" s="35" t="s">
        <v>214</v>
      </c>
      <c r="F28" s="38"/>
      <c r="H28" s="447" t="s">
        <v>175</v>
      </c>
      <c r="I28" s="447"/>
      <c r="J28" s="447"/>
      <c r="K28" s="447"/>
      <c r="L28" s="447"/>
      <c r="M28" s="447"/>
    </row>
    <row r="29" spans="1:13" ht="15.75" thickBot="1">
      <c r="A29" s="42">
        <v>13</v>
      </c>
      <c r="B29" s="52" t="s">
        <v>114</v>
      </c>
      <c r="C29" s="297">
        <f>+V12</f>
        <v>0</v>
      </c>
      <c r="D29" s="306">
        <v>0</v>
      </c>
      <c r="E29" s="43" t="s">
        <v>42</v>
      </c>
      <c r="F29" s="38"/>
      <c r="H29" s="447" t="s">
        <v>176</v>
      </c>
      <c r="I29" s="447"/>
      <c r="J29" s="447"/>
      <c r="K29" s="447"/>
      <c r="L29" s="447"/>
      <c r="M29" s="447"/>
    </row>
    <row r="30" spans="1:6" ht="13.5" thickBot="1">
      <c r="A30" s="27"/>
      <c r="B30" s="33" t="s">
        <v>196</v>
      </c>
      <c r="C30" s="282">
        <f>SUM(C16:C29)</f>
        <v>5536565</v>
      </c>
      <c r="D30" s="282">
        <f>SUM(D16:D29)</f>
        <v>5536565</v>
      </c>
      <c r="E30" s="37"/>
      <c r="F30" s="40"/>
    </row>
    <row r="35" ht="12.75">
      <c r="U35" s="299"/>
    </row>
    <row r="36" ht="12.75">
      <c r="U36" s="299"/>
    </row>
    <row r="37" ht="12.75">
      <c r="U37" s="299"/>
    </row>
    <row r="38" ht="12.75">
      <c r="U38" s="299"/>
    </row>
    <row r="39" ht="12.75">
      <c r="U39" s="299"/>
    </row>
    <row r="40" ht="12.75">
      <c r="U40" s="299"/>
    </row>
    <row r="41" ht="12.75">
      <c r="U41" s="299"/>
    </row>
    <row r="42" ht="12.75">
      <c r="U42" s="299"/>
    </row>
    <row r="43" ht="12.75">
      <c r="U43" s="299"/>
    </row>
    <row r="44" ht="12.75">
      <c r="U44" s="299"/>
    </row>
    <row r="45" ht="12.75">
      <c r="U45" s="299"/>
    </row>
    <row r="46" ht="12.75">
      <c r="U46" s="299"/>
    </row>
    <row r="47" ht="12.75">
      <c r="U47" s="299"/>
    </row>
    <row r="48" ht="12.75">
      <c r="U48" s="299"/>
    </row>
    <row r="49" ht="12.75">
      <c r="U49" s="299"/>
    </row>
    <row r="50" ht="12.75">
      <c r="U50" s="299"/>
    </row>
    <row r="51" ht="12.75">
      <c r="U51" s="299"/>
    </row>
    <row r="52" ht="12.75">
      <c r="U52" s="299"/>
    </row>
    <row r="53" ht="12.75">
      <c r="U53" s="299"/>
    </row>
    <row r="54" ht="12.75">
      <c r="U54" s="299"/>
    </row>
    <row r="55" ht="12.75">
      <c r="U55" s="299"/>
    </row>
    <row r="56" ht="12.75">
      <c r="U56" s="299"/>
    </row>
    <row r="57" ht="12.75">
      <c r="U57" s="299"/>
    </row>
  </sheetData>
  <sheetProtection/>
  <mergeCells count="12">
    <mergeCell ref="D26:D27"/>
    <mergeCell ref="H27:M27"/>
    <mergeCell ref="H29:M29"/>
    <mergeCell ref="H28:M28"/>
    <mergeCell ref="E26:E27"/>
    <mergeCell ref="H26:J26"/>
    <mergeCell ref="H25:J25"/>
    <mergeCell ref="A3:X3"/>
    <mergeCell ref="D18:D19"/>
    <mergeCell ref="E18:E19"/>
    <mergeCell ref="A18:A19"/>
    <mergeCell ref="A5:X5"/>
  </mergeCells>
  <printOptions horizontalCentered="1"/>
  <pageMargins left="0.15" right="0.14" top="0.29" bottom="1" header="0.25" footer="0.68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98"/>
  <sheetViews>
    <sheetView zoomScale="115" zoomScaleNormal="115" zoomScalePageLayoutView="0" workbookViewId="0" topLeftCell="A1">
      <pane xSplit="1" ySplit="5" topLeftCell="I2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74" sqref="X274"/>
    </sheetView>
  </sheetViews>
  <sheetFormatPr defaultColWidth="9.140625" defaultRowHeight="12.75"/>
  <cols>
    <col min="1" max="1" width="5.421875" style="195" customWidth="1"/>
    <col min="2" max="2" width="35.57421875" style="190" customWidth="1"/>
    <col min="3" max="3" width="8.8515625" style="191" customWidth="1"/>
    <col min="4" max="4" width="12.28125" style="192" customWidth="1"/>
    <col min="5" max="5" width="9.421875" style="192" customWidth="1"/>
    <col min="6" max="6" width="10.421875" style="192" customWidth="1"/>
    <col min="7" max="7" width="9.7109375" style="192" customWidth="1"/>
    <col min="8" max="8" width="8.57421875" style="192" customWidth="1"/>
    <col min="9" max="9" width="9.28125" style="192" customWidth="1"/>
    <col min="10" max="10" width="12.421875" style="193" customWidth="1"/>
    <col min="11" max="11" width="11.00390625" style="194" customWidth="1"/>
    <col min="12" max="13" width="9.421875" style="195" customWidth="1"/>
    <col min="14" max="14" width="10.421875" style="195" customWidth="1"/>
    <col min="15" max="15" width="5.7109375" style="195" customWidth="1"/>
    <col min="16" max="16" width="7.140625" style="195" customWidth="1"/>
    <col min="17" max="17" width="12.421875" style="195" customWidth="1"/>
    <col min="18" max="18" width="6.28125" style="195" customWidth="1"/>
    <col min="19" max="19" width="9.421875" style="256" customWidth="1"/>
    <col min="20" max="20" width="8.421875" style="195" customWidth="1"/>
    <col min="21" max="21" width="6.28125" style="195" customWidth="1"/>
    <col min="22" max="22" width="9.28125" style="195" customWidth="1"/>
    <col min="23" max="23" width="10.421875" style="196" customWidth="1"/>
    <col min="24" max="24" width="10.28125" style="177" customWidth="1"/>
    <col min="25" max="25" width="9.28125" style="142" customWidth="1"/>
    <col min="26" max="28" width="10.421875" style="142" bestFit="1" customWidth="1"/>
    <col min="29" max="16384" width="9.140625" style="142" customWidth="1"/>
  </cols>
  <sheetData>
    <row r="1" spans="1:25" ht="15">
      <c r="A1" s="461" t="s">
        <v>121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387"/>
    </row>
    <row r="2" spans="1:25" ht="15">
      <c r="A2" s="461" t="s">
        <v>122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387"/>
    </row>
    <row r="3" spans="1:25" ht="15">
      <c r="A3" s="461" t="s">
        <v>1171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387"/>
    </row>
    <row r="4" spans="1:25" ht="15.75" thickBot="1">
      <c r="A4" s="461" t="s">
        <v>1420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387"/>
    </row>
    <row r="5" spans="1:25" ht="60.75" thickBot="1">
      <c r="A5" s="143" t="s">
        <v>224</v>
      </c>
      <c r="B5" s="144" t="s">
        <v>109</v>
      </c>
      <c r="C5" s="145" t="s">
        <v>98</v>
      </c>
      <c r="D5" s="146" t="s">
        <v>97</v>
      </c>
      <c r="E5" s="145" t="s">
        <v>1277</v>
      </c>
      <c r="F5" s="146" t="s">
        <v>216</v>
      </c>
      <c r="G5" s="145" t="s">
        <v>38</v>
      </c>
      <c r="H5" s="146" t="s">
        <v>238</v>
      </c>
      <c r="I5" s="145" t="s">
        <v>315</v>
      </c>
      <c r="J5" s="147" t="s">
        <v>115</v>
      </c>
      <c r="K5" s="148" t="s">
        <v>116</v>
      </c>
      <c r="L5" s="146" t="s">
        <v>112</v>
      </c>
      <c r="M5" s="145" t="s">
        <v>117</v>
      </c>
      <c r="N5" s="146" t="s">
        <v>82</v>
      </c>
      <c r="O5" s="145" t="s">
        <v>73</v>
      </c>
      <c r="P5" s="146" t="s">
        <v>78</v>
      </c>
      <c r="Q5" s="145" t="s">
        <v>237</v>
      </c>
      <c r="R5" s="145" t="s">
        <v>244</v>
      </c>
      <c r="S5" s="148" t="s">
        <v>103</v>
      </c>
      <c r="T5" s="255" t="s">
        <v>166</v>
      </c>
      <c r="U5" s="150" t="s">
        <v>165</v>
      </c>
      <c r="V5" s="145" t="s">
        <v>118</v>
      </c>
      <c r="W5" s="151" t="s">
        <v>119</v>
      </c>
      <c r="X5" s="145" t="s">
        <v>120</v>
      </c>
      <c r="Y5" s="149" t="s">
        <v>37</v>
      </c>
    </row>
    <row r="6" spans="1:25" ht="15">
      <c r="A6" s="152" t="s">
        <v>123</v>
      </c>
      <c r="B6" s="153" t="s">
        <v>728</v>
      </c>
      <c r="C6" s="154"/>
      <c r="D6" s="155"/>
      <c r="E6" s="156"/>
      <c r="F6" s="155"/>
      <c r="G6" s="156"/>
      <c r="H6" s="155"/>
      <c r="I6" s="156"/>
      <c r="J6" s="157"/>
      <c r="K6" s="317"/>
      <c r="L6" s="158"/>
      <c r="M6" s="316"/>
      <c r="N6" s="158"/>
      <c r="O6" s="316"/>
      <c r="P6" s="158"/>
      <c r="Q6" s="259"/>
      <c r="R6" s="259"/>
      <c r="S6" s="260"/>
      <c r="T6" s="260"/>
      <c r="U6" s="158"/>
      <c r="V6" s="316"/>
      <c r="W6" s="160"/>
      <c r="X6" s="161"/>
      <c r="Y6" s="162"/>
    </row>
    <row r="7" spans="1:25" s="177" customFormat="1" ht="15">
      <c r="A7" s="163">
        <v>1</v>
      </c>
      <c r="B7" s="164" t="s">
        <v>1154</v>
      </c>
      <c r="C7" s="165">
        <v>29600</v>
      </c>
      <c r="D7" s="166">
        <v>0</v>
      </c>
      <c r="E7" s="167">
        <f>ROUND(D7*28.75%,0)</f>
        <v>0</v>
      </c>
      <c r="F7" s="166">
        <f>D7*10%</f>
        <v>0</v>
      </c>
      <c r="G7" s="167"/>
      <c r="H7" s="166"/>
      <c r="I7" s="167"/>
      <c r="J7" s="174">
        <f>SUM(D7:I7)</f>
        <v>0</v>
      </c>
      <c r="K7" s="170">
        <v>0</v>
      </c>
      <c r="L7" s="166">
        <v>0</v>
      </c>
      <c r="M7" s="167">
        <v>0</v>
      </c>
      <c r="N7" s="166">
        <v>0</v>
      </c>
      <c r="O7" s="167"/>
      <c r="P7" s="166">
        <v>0</v>
      </c>
      <c r="Q7" s="167"/>
      <c r="R7" s="167"/>
      <c r="S7" s="170"/>
      <c r="T7" s="170"/>
      <c r="U7" s="166"/>
      <c r="V7" s="167"/>
      <c r="W7" s="175">
        <f aca="true" t="shared" si="0" ref="W7:W71">SUM(K7:V7)</f>
        <v>0</v>
      </c>
      <c r="X7" s="172">
        <f aca="true" t="shared" si="1" ref="X7:X71">J7-W7</f>
        <v>0</v>
      </c>
      <c r="Y7" s="176"/>
    </row>
    <row r="8" spans="1:25" s="177" customFormat="1" ht="15">
      <c r="A8" s="163">
        <v>2</v>
      </c>
      <c r="B8" s="164" t="s">
        <v>1427</v>
      </c>
      <c r="C8" s="165">
        <v>32000</v>
      </c>
      <c r="D8" s="166">
        <v>32000</v>
      </c>
      <c r="E8" s="167">
        <f>ROUND(D8*32.5%,0)</f>
        <v>10400</v>
      </c>
      <c r="F8" s="166">
        <f>D8*10%</f>
        <v>3200</v>
      </c>
      <c r="G8" s="167"/>
      <c r="H8" s="166"/>
      <c r="I8" s="167"/>
      <c r="J8" s="174">
        <f aca="true" t="shared" si="2" ref="J8:J71">SUM(D8:I8)</f>
        <v>45600</v>
      </c>
      <c r="K8" s="170">
        <v>200</v>
      </c>
      <c r="L8" s="166">
        <v>3200</v>
      </c>
      <c r="M8" s="167">
        <v>1000</v>
      </c>
      <c r="N8" s="166">
        <v>42</v>
      </c>
      <c r="O8" s="167"/>
      <c r="P8" s="166">
        <v>20</v>
      </c>
      <c r="Q8" s="167"/>
      <c r="R8" s="167"/>
      <c r="S8" s="170"/>
      <c r="T8" s="170"/>
      <c r="U8" s="166"/>
      <c r="V8" s="167"/>
      <c r="W8" s="175">
        <f t="shared" si="0"/>
        <v>4462</v>
      </c>
      <c r="X8" s="172">
        <f t="shared" si="1"/>
        <v>41138</v>
      </c>
      <c r="Y8" s="176"/>
    </row>
    <row r="9" spans="1:25" s="177" customFormat="1" ht="15">
      <c r="A9" s="163">
        <v>3</v>
      </c>
      <c r="B9" s="164" t="s">
        <v>1348</v>
      </c>
      <c r="C9" s="165">
        <v>32000</v>
      </c>
      <c r="D9" s="166">
        <f>C9</f>
        <v>32000</v>
      </c>
      <c r="E9" s="167">
        <f>ROUND(D9*32.5%,0)</f>
        <v>10400</v>
      </c>
      <c r="F9" s="166">
        <f>D9*10%</f>
        <v>3200</v>
      </c>
      <c r="G9" s="167"/>
      <c r="H9" s="166"/>
      <c r="I9" s="167"/>
      <c r="J9" s="174">
        <f t="shared" si="2"/>
        <v>45600</v>
      </c>
      <c r="K9" s="170">
        <v>200</v>
      </c>
      <c r="L9" s="166"/>
      <c r="M9" s="167">
        <v>1000</v>
      </c>
      <c r="N9" s="166"/>
      <c r="O9" s="167"/>
      <c r="P9" s="166"/>
      <c r="Q9" s="167"/>
      <c r="R9" s="167"/>
      <c r="S9" s="170"/>
      <c r="T9" s="170"/>
      <c r="U9" s="166"/>
      <c r="V9" s="167"/>
      <c r="W9" s="175">
        <f t="shared" si="0"/>
        <v>1200</v>
      </c>
      <c r="X9" s="172">
        <f t="shared" si="1"/>
        <v>44400</v>
      </c>
      <c r="Y9" s="176"/>
    </row>
    <row r="10" spans="1:25" s="177" customFormat="1" ht="18" customHeight="1">
      <c r="A10" s="163">
        <v>4</v>
      </c>
      <c r="B10" s="164" t="s">
        <v>1274</v>
      </c>
      <c r="C10" s="165">
        <v>31200</v>
      </c>
      <c r="D10" s="166">
        <f>C10</f>
        <v>31200</v>
      </c>
      <c r="E10" s="167">
        <f>ROUND(D10*32.5%,0)</f>
        <v>10140</v>
      </c>
      <c r="F10" s="166">
        <f>D10*10%</f>
        <v>3120</v>
      </c>
      <c r="G10" s="167"/>
      <c r="H10" s="166"/>
      <c r="I10" s="167"/>
      <c r="J10" s="174">
        <f t="shared" si="2"/>
        <v>44460</v>
      </c>
      <c r="K10" s="170">
        <v>200</v>
      </c>
      <c r="L10" s="166">
        <v>3120</v>
      </c>
      <c r="M10" s="167">
        <v>1000</v>
      </c>
      <c r="N10" s="166">
        <v>42</v>
      </c>
      <c r="O10" s="167"/>
      <c r="P10" s="166">
        <v>20</v>
      </c>
      <c r="Q10" s="167"/>
      <c r="R10" s="167"/>
      <c r="S10" s="170"/>
      <c r="T10" s="170"/>
      <c r="U10" s="166"/>
      <c r="V10" s="167"/>
      <c r="W10" s="175">
        <f t="shared" si="0"/>
        <v>4382</v>
      </c>
      <c r="X10" s="172">
        <f t="shared" si="1"/>
        <v>40078</v>
      </c>
      <c r="Y10" s="176"/>
    </row>
    <row r="11" spans="1:25" s="177" customFormat="1" ht="17.25" customHeight="1">
      <c r="A11" s="163">
        <v>5</v>
      </c>
      <c r="B11" s="164" t="s">
        <v>642</v>
      </c>
      <c r="C11" s="165"/>
      <c r="D11" s="166"/>
      <c r="E11" s="167"/>
      <c r="F11" s="166"/>
      <c r="G11" s="167"/>
      <c r="H11" s="166"/>
      <c r="I11" s="167"/>
      <c r="J11" s="174">
        <f t="shared" si="2"/>
        <v>0</v>
      </c>
      <c r="K11" s="170"/>
      <c r="L11" s="166"/>
      <c r="M11" s="167"/>
      <c r="N11" s="166"/>
      <c r="O11" s="167"/>
      <c r="P11" s="166"/>
      <c r="Q11" s="167"/>
      <c r="R11" s="167"/>
      <c r="S11" s="170"/>
      <c r="T11" s="170"/>
      <c r="U11" s="166"/>
      <c r="V11" s="167"/>
      <c r="W11" s="175">
        <f t="shared" si="0"/>
        <v>0</v>
      </c>
      <c r="X11" s="172">
        <f t="shared" si="1"/>
        <v>0</v>
      </c>
      <c r="Y11" s="176"/>
    </row>
    <row r="12" spans="1:25" ht="18.75" customHeight="1">
      <c r="A12" s="178" t="s">
        <v>127</v>
      </c>
      <c r="B12" s="179" t="s">
        <v>3</v>
      </c>
      <c r="C12" s="180"/>
      <c r="D12" s="166"/>
      <c r="E12" s="167"/>
      <c r="F12" s="166"/>
      <c r="G12" s="168"/>
      <c r="H12" s="169"/>
      <c r="I12" s="168"/>
      <c r="J12" s="174">
        <f t="shared" si="2"/>
        <v>0</v>
      </c>
      <c r="K12" s="170"/>
      <c r="L12" s="166"/>
      <c r="M12" s="167"/>
      <c r="N12" s="166"/>
      <c r="O12" s="167"/>
      <c r="P12" s="166"/>
      <c r="Q12" s="167"/>
      <c r="R12" s="167"/>
      <c r="S12" s="170"/>
      <c r="T12" s="170"/>
      <c r="U12" s="166"/>
      <c r="V12" s="167"/>
      <c r="W12" s="175">
        <f t="shared" si="0"/>
        <v>0</v>
      </c>
      <c r="X12" s="172">
        <f t="shared" si="1"/>
        <v>0</v>
      </c>
      <c r="Y12" s="173"/>
    </row>
    <row r="13" spans="1:25" s="177" customFormat="1" ht="15">
      <c r="A13" s="163">
        <v>1</v>
      </c>
      <c r="B13" s="164" t="s">
        <v>859</v>
      </c>
      <c r="C13" s="165">
        <v>30400</v>
      </c>
      <c r="D13" s="166">
        <v>30400</v>
      </c>
      <c r="E13" s="167">
        <f>ROUND(D13*32.5%,0)</f>
        <v>9880</v>
      </c>
      <c r="F13" s="166">
        <f>D13*10%</f>
        <v>3040</v>
      </c>
      <c r="G13" s="167"/>
      <c r="H13" s="166"/>
      <c r="I13" s="167"/>
      <c r="J13" s="174">
        <f t="shared" si="2"/>
        <v>43320</v>
      </c>
      <c r="K13" s="170">
        <v>200</v>
      </c>
      <c r="L13" s="166"/>
      <c r="M13" s="167">
        <v>1000</v>
      </c>
      <c r="N13" s="166"/>
      <c r="O13" s="167"/>
      <c r="P13" s="166"/>
      <c r="Q13" s="167"/>
      <c r="R13" s="167"/>
      <c r="S13" s="170"/>
      <c r="T13" s="170"/>
      <c r="U13" s="166"/>
      <c r="V13" s="167"/>
      <c r="W13" s="175">
        <f t="shared" si="0"/>
        <v>1200</v>
      </c>
      <c r="X13" s="172">
        <f t="shared" si="1"/>
        <v>42120</v>
      </c>
      <c r="Y13" s="176"/>
    </row>
    <row r="14" spans="1:25" s="177" customFormat="1" ht="15">
      <c r="A14" s="163">
        <v>2</v>
      </c>
      <c r="B14" s="164" t="s">
        <v>1428</v>
      </c>
      <c r="C14" s="165">
        <v>28100</v>
      </c>
      <c r="D14" s="166">
        <f>C14</f>
        <v>28100</v>
      </c>
      <c r="E14" s="167">
        <f>ROUND(D14*32.5%,0)</f>
        <v>9133</v>
      </c>
      <c r="F14" s="166">
        <f>D14*10%</f>
        <v>2810</v>
      </c>
      <c r="G14" s="167"/>
      <c r="H14" s="166"/>
      <c r="I14" s="167"/>
      <c r="J14" s="174">
        <f t="shared" si="2"/>
        <v>40043</v>
      </c>
      <c r="K14" s="170">
        <v>200</v>
      </c>
      <c r="L14" s="166"/>
      <c r="M14" s="167">
        <v>1000</v>
      </c>
      <c r="N14" s="166"/>
      <c r="O14" s="167"/>
      <c r="P14" s="166"/>
      <c r="Q14" s="167"/>
      <c r="R14" s="167"/>
      <c r="S14" s="170"/>
      <c r="T14" s="170"/>
      <c r="U14" s="166"/>
      <c r="V14" s="167"/>
      <c r="W14" s="175">
        <f t="shared" si="0"/>
        <v>1200</v>
      </c>
      <c r="X14" s="172">
        <f t="shared" si="1"/>
        <v>38843</v>
      </c>
      <c r="Y14" s="176"/>
    </row>
    <row r="15" spans="1:25" s="177" customFormat="1" ht="15">
      <c r="A15" s="163">
        <v>3</v>
      </c>
      <c r="B15" s="179" t="s">
        <v>314</v>
      </c>
      <c r="C15" s="180"/>
      <c r="D15" s="166"/>
      <c r="E15" s="167"/>
      <c r="F15" s="166"/>
      <c r="G15" s="167"/>
      <c r="H15" s="166"/>
      <c r="I15" s="167"/>
      <c r="J15" s="174">
        <f t="shared" si="2"/>
        <v>0</v>
      </c>
      <c r="K15" s="170"/>
      <c r="L15" s="166"/>
      <c r="M15" s="167"/>
      <c r="N15" s="166"/>
      <c r="O15" s="167"/>
      <c r="P15" s="166"/>
      <c r="Q15" s="167"/>
      <c r="R15" s="167"/>
      <c r="S15" s="170"/>
      <c r="T15" s="170"/>
      <c r="U15" s="166"/>
      <c r="V15" s="167"/>
      <c r="W15" s="175">
        <f t="shared" si="0"/>
        <v>0</v>
      </c>
      <c r="X15" s="172">
        <f t="shared" si="1"/>
        <v>0</v>
      </c>
      <c r="Y15" s="176"/>
    </row>
    <row r="16" spans="1:25" ht="42.75" customHeight="1">
      <c r="A16" s="178" t="s">
        <v>138</v>
      </c>
      <c r="B16" s="179" t="s">
        <v>33</v>
      </c>
      <c r="C16" s="180"/>
      <c r="D16" s="169"/>
      <c r="E16" s="168"/>
      <c r="F16" s="169"/>
      <c r="G16" s="168"/>
      <c r="H16" s="169"/>
      <c r="I16" s="168"/>
      <c r="J16" s="174">
        <f t="shared" si="2"/>
        <v>0</v>
      </c>
      <c r="K16" s="170"/>
      <c r="L16" s="166"/>
      <c r="M16" s="167"/>
      <c r="N16" s="166"/>
      <c r="O16" s="167"/>
      <c r="P16" s="166"/>
      <c r="Q16" s="167"/>
      <c r="R16" s="167"/>
      <c r="S16" s="170"/>
      <c r="T16" s="170"/>
      <c r="U16" s="166"/>
      <c r="V16" s="167"/>
      <c r="W16" s="175">
        <f t="shared" si="0"/>
        <v>0</v>
      </c>
      <c r="X16" s="172">
        <f t="shared" si="1"/>
        <v>0</v>
      </c>
      <c r="Y16" s="173"/>
    </row>
    <row r="17" spans="1:25" s="396" customFormat="1" ht="21" customHeight="1">
      <c r="A17" s="310">
        <v>1</v>
      </c>
      <c r="B17" s="389" t="s">
        <v>1275</v>
      </c>
      <c r="C17" s="390">
        <v>31000</v>
      </c>
      <c r="D17" s="391">
        <v>31000</v>
      </c>
      <c r="E17" s="392"/>
      <c r="F17" s="393"/>
      <c r="G17" s="394"/>
      <c r="H17" s="393"/>
      <c r="I17" s="392"/>
      <c r="J17" s="174">
        <f t="shared" si="2"/>
        <v>31000</v>
      </c>
      <c r="K17" s="395">
        <v>200</v>
      </c>
      <c r="L17" s="391"/>
      <c r="M17" s="394">
        <v>0</v>
      </c>
      <c r="N17" s="391"/>
      <c r="O17" s="394"/>
      <c r="P17" s="391"/>
      <c r="Q17" s="394"/>
      <c r="R17" s="394"/>
      <c r="S17" s="395"/>
      <c r="T17" s="395"/>
      <c r="U17" s="391"/>
      <c r="V17" s="394"/>
      <c r="W17" s="175">
        <f t="shared" si="0"/>
        <v>200</v>
      </c>
      <c r="X17" s="172">
        <f t="shared" si="1"/>
        <v>30800</v>
      </c>
      <c r="Y17" s="392"/>
    </row>
    <row r="18" spans="1:25" s="396" customFormat="1" ht="21" customHeight="1">
      <c r="A18" s="310">
        <v>2</v>
      </c>
      <c r="B18" s="389" t="s">
        <v>49</v>
      </c>
      <c r="C18" s="390">
        <v>31000</v>
      </c>
      <c r="D18" s="391">
        <v>31000</v>
      </c>
      <c r="E18" s="392"/>
      <c r="F18" s="393"/>
      <c r="G18" s="394"/>
      <c r="H18" s="393"/>
      <c r="I18" s="392"/>
      <c r="J18" s="174">
        <f t="shared" si="2"/>
        <v>31000</v>
      </c>
      <c r="K18" s="395">
        <v>200</v>
      </c>
      <c r="L18" s="397"/>
      <c r="M18" s="394">
        <v>0</v>
      </c>
      <c r="N18" s="391"/>
      <c r="O18" s="394"/>
      <c r="P18" s="391"/>
      <c r="Q18" s="394"/>
      <c r="R18" s="394"/>
      <c r="S18" s="395"/>
      <c r="T18" s="395"/>
      <c r="U18" s="391"/>
      <c r="V18" s="394"/>
      <c r="W18" s="175">
        <f t="shared" si="0"/>
        <v>200</v>
      </c>
      <c r="X18" s="172">
        <f t="shared" si="1"/>
        <v>30800</v>
      </c>
      <c r="Y18" s="392"/>
    </row>
    <row r="19" spans="1:25" ht="21" customHeight="1">
      <c r="A19" s="310">
        <v>3</v>
      </c>
      <c r="B19" s="398" t="s">
        <v>50</v>
      </c>
      <c r="C19" s="165">
        <v>31000</v>
      </c>
      <c r="D19" s="166">
        <v>31000</v>
      </c>
      <c r="E19" s="168"/>
      <c r="F19" s="169"/>
      <c r="G19" s="167"/>
      <c r="H19" s="169"/>
      <c r="I19" s="168"/>
      <c r="J19" s="174">
        <f t="shared" si="2"/>
        <v>31000</v>
      </c>
      <c r="K19" s="170">
        <v>200</v>
      </c>
      <c r="L19" s="171">
        <f>ROUND(J19*10%,0)</f>
        <v>3100</v>
      </c>
      <c r="M19" s="167">
        <v>0</v>
      </c>
      <c r="N19" s="166">
        <v>42</v>
      </c>
      <c r="O19" s="167"/>
      <c r="P19" s="166">
        <v>20</v>
      </c>
      <c r="Q19" s="167"/>
      <c r="R19" s="167"/>
      <c r="S19" s="170"/>
      <c r="T19" s="170"/>
      <c r="U19" s="166"/>
      <c r="V19" s="167"/>
      <c r="W19" s="175">
        <f t="shared" si="0"/>
        <v>3362</v>
      </c>
      <c r="X19" s="172">
        <f t="shared" si="1"/>
        <v>27638</v>
      </c>
      <c r="Y19" s="168"/>
    </row>
    <row r="20" spans="1:25" ht="21" customHeight="1">
      <c r="A20" s="310">
        <v>4</v>
      </c>
      <c r="B20" s="398" t="s">
        <v>51</v>
      </c>
      <c r="C20" s="165">
        <v>31000</v>
      </c>
      <c r="D20" s="166">
        <v>31000</v>
      </c>
      <c r="E20" s="168"/>
      <c r="F20" s="169"/>
      <c r="G20" s="167"/>
      <c r="H20" s="169"/>
      <c r="I20" s="168"/>
      <c r="J20" s="174">
        <f t="shared" si="2"/>
        <v>31000</v>
      </c>
      <c r="K20" s="170">
        <v>200</v>
      </c>
      <c r="L20" s="166"/>
      <c r="M20" s="167">
        <v>0</v>
      </c>
      <c r="N20" s="166"/>
      <c r="O20" s="167"/>
      <c r="P20" s="166"/>
      <c r="Q20" s="167"/>
      <c r="R20" s="167"/>
      <c r="S20" s="170"/>
      <c r="T20" s="170"/>
      <c r="U20" s="166"/>
      <c r="V20" s="167"/>
      <c r="W20" s="175">
        <f t="shared" si="0"/>
        <v>200</v>
      </c>
      <c r="X20" s="172">
        <f t="shared" si="1"/>
        <v>30800</v>
      </c>
      <c r="Y20" s="168"/>
    </row>
    <row r="21" spans="1:25" ht="21" customHeight="1">
      <c r="A21" s="310">
        <v>5</v>
      </c>
      <c r="B21" s="398" t="s">
        <v>1539</v>
      </c>
      <c r="C21" s="165">
        <v>31000</v>
      </c>
      <c r="D21" s="166">
        <f>C21*30/31</f>
        <v>30000</v>
      </c>
      <c r="E21" s="168"/>
      <c r="F21" s="169"/>
      <c r="G21" s="167"/>
      <c r="H21" s="169"/>
      <c r="I21" s="168"/>
      <c r="J21" s="174">
        <f t="shared" si="2"/>
        <v>30000</v>
      </c>
      <c r="K21" s="170">
        <v>200</v>
      </c>
      <c r="L21" s="166"/>
      <c r="M21" s="167">
        <v>0</v>
      </c>
      <c r="N21" s="166"/>
      <c r="O21" s="167"/>
      <c r="P21" s="166"/>
      <c r="Q21" s="167"/>
      <c r="R21" s="167"/>
      <c r="S21" s="170"/>
      <c r="T21" s="170"/>
      <c r="U21" s="166"/>
      <c r="V21" s="167"/>
      <c r="W21" s="175">
        <f t="shared" si="0"/>
        <v>200</v>
      </c>
      <c r="X21" s="172">
        <f t="shared" si="1"/>
        <v>29800</v>
      </c>
      <c r="Y21" s="168"/>
    </row>
    <row r="22" spans="1:25" ht="21" customHeight="1">
      <c r="A22" s="310">
        <v>6</v>
      </c>
      <c r="B22" s="398" t="s">
        <v>81</v>
      </c>
      <c r="C22" s="165">
        <v>31000</v>
      </c>
      <c r="D22" s="166">
        <f>C22</f>
        <v>31000</v>
      </c>
      <c r="E22" s="168"/>
      <c r="F22" s="169"/>
      <c r="G22" s="167"/>
      <c r="H22" s="169"/>
      <c r="I22" s="168"/>
      <c r="J22" s="174">
        <f t="shared" si="2"/>
        <v>31000</v>
      </c>
      <c r="K22" s="170">
        <v>200</v>
      </c>
      <c r="L22" s="171">
        <v>3100</v>
      </c>
      <c r="M22" s="167">
        <v>0</v>
      </c>
      <c r="N22" s="166">
        <v>42</v>
      </c>
      <c r="O22" s="167"/>
      <c r="P22" s="166">
        <v>20</v>
      </c>
      <c r="Q22" s="167"/>
      <c r="R22" s="167"/>
      <c r="S22" s="170"/>
      <c r="T22" s="170"/>
      <c r="U22" s="166"/>
      <c r="V22" s="167"/>
      <c r="W22" s="175">
        <f t="shared" si="0"/>
        <v>3362</v>
      </c>
      <c r="X22" s="172">
        <f t="shared" si="1"/>
        <v>27638</v>
      </c>
      <c r="Y22" s="168"/>
    </row>
    <row r="23" spans="1:25" ht="21" customHeight="1">
      <c r="A23" s="310">
        <v>7</v>
      </c>
      <c r="B23" s="398" t="s">
        <v>356</v>
      </c>
      <c r="C23" s="165">
        <v>31000</v>
      </c>
      <c r="D23" s="166">
        <v>31000</v>
      </c>
      <c r="E23" s="168"/>
      <c r="F23" s="169"/>
      <c r="G23" s="167"/>
      <c r="H23" s="169"/>
      <c r="I23" s="168"/>
      <c r="J23" s="174">
        <f t="shared" si="2"/>
        <v>31000</v>
      </c>
      <c r="K23" s="170">
        <v>200</v>
      </c>
      <c r="L23" s="171">
        <v>3100</v>
      </c>
      <c r="M23" s="167">
        <v>0</v>
      </c>
      <c r="N23" s="166">
        <v>42</v>
      </c>
      <c r="O23" s="167"/>
      <c r="P23" s="166">
        <v>20</v>
      </c>
      <c r="Q23" s="167"/>
      <c r="R23" s="167"/>
      <c r="S23" s="170"/>
      <c r="T23" s="170"/>
      <c r="U23" s="166"/>
      <c r="V23" s="167"/>
      <c r="W23" s="175">
        <f t="shared" si="0"/>
        <v>3362</v>
      </c>
      <c r="X23" s="172">
        <f t="shared" si="1"/>
        <v>27638</v>
      </c>
      <c r="Y23" s="168"/>
    </row>
    <row r="24" spans="1:25" ht="21" customHeight="1">
      <c r="A24" s="310">
        <v>8</v>
      </c>
      <c r="B24" s="398" t="s">
        <v>713</v>
      </c>
      <c r="C24" s="165">
        <v>31000</v>
      </c>
      <c r="D24" s="166">
        <v>31000</v>
      </c>
      <c r="E24" s="168"/>
      <c r="F24" s="169"/>
      <c r="G24" s="167"/>
      <c r="H24" s="169"/>
      <c r="I24" s="168"/>
      <c r="J24" s="174">
        <f t="shared" si="2"/>
        <v>31000</v>
      </c>
      <c r="K24" s="170">
        <v>200</v>
      </c>
      <c r="L24" s="166"/>
      <c r="M24" s="167">
        <v>0</v>
      </c>
      <c r="N24" s="166"/>
      <c r="O24" s="167"/>
      <c r="P24" s="166"/>
      <c r="Q24" s="167"/>
      <c r="R24" s="167"/>
      <c r="S24" s="170"/>
      <c r="T24" s="170"/>
      <c r="U24" s="166"/>
      <c r="V24" s="167"/>
      <c r="W24" s="175">
        <f t="shared" si="0"/>
        <v>200</v>
      </c>
      <c r="X24" s="172">
        <f t="shared" si="1"/>
        <v>30800</v>
      </c>
      <c r="Y24" s="168"/>
    </row>
    <row r="25" spans="1:25" ht="21" customHeight="1">
      <c r="A25" s="310">
        <v>9</v>
      </c>
      <c r="B25" s="398" t="s">
        <v>298</v>
      </c>
      <c r="C25" s="165">
        <v>31000</v>
      </c>
      <c r="D25" s="166">
        <v>31000</v>
      </c>
      <c r="E25" s="168"/>
      <c r="F25" s="169"/>
      <c r="G25" s="167"/>
      <c r="H25" s="169"/>
      <c r="I25" s="168"/>
      <c r="J25" s="174">
        <f t="shared" si="2"/>
        <v>31000</v>
      </c>
      <c r="K25" s="170">
        <v>200</v>
      </c>
      <c r="L25" s="166"/>
      <c r="M25" s="167">
        <v>0</v>
      </c>
      <c r="N25" s="166"/>
      <c r="O25" s="167"/>
      <c r="P25" s="166"/>
      <c r="Q25" s="167"/>
      <c r="R25" s="167"/>
      <c r="S25" s="170"/>
      <c r="T25" s="170"/>
      <c r="U25" s="166"/>
      <c r="V25" s="167"/>
      <c r="W25" s="175">
        <f t="shared" si="0"/>
        <v>200</v>
      </c>
      <c r="X25" s="172">
        <f t="shared" si="1"/>
        <v>30800</v>
      </c>
      <c r="Y25" s="168"/>
    </row>
    <row r="26" spans="1:25" ht="21" customHeight="1">
      <c r="A26" s="310">
        <v>10</v>
      </c>
      <c r="B26" s="398" t="s">
        <v>1429</v>
      </c>
      <c r="C26" s="165">
        <v>31000</v>
      </c>
      <c r="D26" s="166">
        <v>31000</v>
      </c>
      <c r="E26" s="168"/>
      <c r="F26" s="169"/>
      <c r="G26" s="167"/>
      <c r="H26" s="169"/>
      <c r="I26" s="168"/>
      <c r="J26" s="174">
        <f t="shared" si="2"/>
        <v>31000</v>
      </c>
      <c r="K26" s="170">
        <v>200</v>
      </c>
      <c r="L26" s="166"/>
      <c r="M26" s="167">
        <v>0</v>
      </c>
      <c r="N26" s="166"/>
      <c r="O26" s="167"/>
      <c r="P26" s="166"/>
      <c r="Q26" s="167"/>
      <c r="R26" s="167"/>
      <c r="S26" s="170"/>
      <c r="T26" s="170"/>
      <c r="U26" s="166"/>
      <c r="V26" s="167"/>
      <c r="W26" s="175">
        <f t="shared" si="0"/>
        <v>200</v>
      </c>
      <c r="X26" s="172">
        <f t="shared" si="1"/>
        <v>30800</v>
      </c>
      <c r="Y26" s="168"/>
    </row>
    <row r="27" spans="1:25" s="177" customFormat="1" ht="21" customHeight="1">
      <c r="A27" s="310">
        <v>11</v>
      </c>
      <c r="B27" s="398" t="s">
        <v>340</v>
      </c>
      <c r="C27" s="165">
        <v>31000</v>
      </c>
      <c r="D27" s="166">
        <v>31000</v>
      </c>
      <c r="E27" s="167"/>
      <c r="F27" s="166"/>
      <c r="G27" s="167"/>
      <c r="H27" s="166"/>
      <c r="I27" s="167"/>
      <c r="J27" s="174">
        <f t="shared" si="2"/>
        <v>31000</v>
      </c>
      <c r="K27" s="170">
        <v>200</v>
      </c>
      <c r="L27" s="171">
        <v>3100</v>
      </c>
      <c r="M27" s="167">
        <v>0</v>
      </c>
      <c r="N27" s="166">
        <v>42</v>
      </c>
      <c r="O27" s="167"/>
      <c r="P27" s="166">
        <v>20</v>
      </c>
      <c r="Q27" s="167"/>
      <c r="R27" s="167"/>
      <c r="S27" s="170"/>
      <c r="T27" s="170"/>
      <c r="U27" s="166"/>
      <c r="V27" s="167"/>
      <c r="W27" s="175">
        <f t="shared" si="0"/>
        <v>3362</v>
      </c>
      <c r="X27" s="172">
        <f t="shared" si="1"/>
        <v>27638</v>
      </c>
      <c r="Y27" s="167"/>
    </row>
    <row r="28" spans="1:25" s="177" customFormat="1" ht="21" customHeight="1">
      <c r="A28" s="310">
        <v>12</v>
      </c>
      <c r="B28" s="398" t="s">
        <v>590</v>
      </c>
      <c r="C28" s="165">
        <v>31000</v>
      </c>
      <c r="D28" s="166">
        <f aca="true" t="shared" si="3" ref="D28:D37">C28</f>
        <v>31000</v>
      </c>
      <c r="E28" s="167"/>
      <c r="F28" s="166"/>
      <c r="G28" s="167" t="s">
        <v>75</v>
      </c>
      <c r="H28" s="166" t="s">
        <v>75</v>
      </c>
      <c r="I28" s="167"/>
      <c r="J28" s="174">
        <f t="shared" si="2"/>
        <v>31000</v>
      </c>
      <c r="K28" s="170">
        <v>200</v>
      </c>
      <c r="L28" s="166"/>
      <c r="M28" s="167">
        <v>0</v>
      </c>
      <c r="N28" s="166"/>
      <c r="O28" s="167"/>
      <c r="P28" s="166"/>
      <c r="Q28" s="167"/>
      <c r="R28" s="167"/>
      <c r="S28" s="170"/>
      <c r="T28" s="170"/>
      <c r="U28" s="166"/>
      <c r="V28" s="167"/>
      <c r="W28" s="175">
        <f t="shared" si="0"/>
        <v>200</v>
      </c>
      <c r="X28" s="172">
        <f t="shared" si="1"/>
        <v>30800</v>
      </c>
      <c r="Y28" s="167"/>
    </row>
    <row r="29" spans="1:25" ht="67.5">
      <c r="A29" s="310">
        <v>13</v>
      </c>
      <c r="B29" s="398" t="s">
        <v>1402</v>
      </c>
      <c r="C29" s="165">
        <v>30000</v>
      </c>
      <c r="D29" s="166">
        <f t="shared" si="3"/>
        <v>30000</v>
      </c>
      <c r="E29" s="168"/>
      <c r="F29" s="169"/>
      <c r="G29" s="167"/>
      <c r="H29" s="169"/>
      <c r="I29" s="168"/>
      <c r="J29" s="174">
        <f t="shared" si="2"/>
        <v>30000</v>
      </c>
      <c r="K29" s="170">
        <v>200</v>
      </c>
      <c r="L29" s="166"/>
      <c r="M29" s="167">
        <v>0</v>
      </c>
      <c r="N29" s="166"/>
      <c r="O29" s="167"/>
      <c r="P29" s="166"/>
      <c r="Q29" s="167"/>
      <c r="R29" s="167"/>
      <c r="S29" s="170"/>
      <c r="T29" s="170"/>
      <c r="U29" s="166"/>
      <c r="V29" s="167"/>
      <c r="W29" s="175">
        <f t="shared" si="0"/>
        <v>200</v>
      </c>
      <c r="X29" s="172">
        <f t="shared" si="1"/>
        <v>29800</v>
      </c>
      <c r="Y29" s="168"/>
    </row>
    <row r="30" spans="1:25" s="177" customFormat="1" ht="54">
      <c r="A30" s="310">
        <v>14</v>
      </c>
      <c r="B30" s="398" t="s">
        <v>1146</v>
      </c>
      <c r="C30" s="165">
        <v>29000</v>
      </c>
      <c r="D30" s="166">
        <f t="shared" si="3"/>
        <v>29000</v>
      </c>
      <c r="E30" s="167"/>
      <c r="F30" s="166"/>
      <c r="G30" s="167"/>
      <c r="H30" s="166"/>
      <c r="I30" s="399"/>
      <c r="J30" s="174">
        <f t="shared" si="2"/>
        <v>29000</v>
      </c>
      <c r="K30" s="170">
        <v>200</v>
      </c>
      <c r="L30" s="166"/>
      <c r="M30" s="167">
        <v>0</v>
      </c>
      <c r="N30" s="166"/>
      <c r="O30" s="167"/>
      <c r="P30" s="166"/>
      <c r="Q30" s="167"/>
      <c r="R30" s="167"/>
      <c r="S30" s="170"/>
      <c r="T30" s="170"/>
      <c r="U30" s="166"/>
      <c r="V30" s="167"/>
      <c r="W30" s="175">
        <f t="shared" si="0"/>
        <v>200</v>
      </c>
      <c r="X30" s="172">
        <f t="shared" si="1"/>
        <v>28800</v>
      </c>
      <c r="Y30" s="167"/>
    </row>
    <row r="31" spans="1:25" ht="63" customHeight="1">
      <c r="A31" s="310">
        <v>16</v>
      </c>
      <c r="B31" s="345" t="s">
        <v>1199</v>
      </c>
      <c r="C31" s="400">
        <v>29000</v>
      </c>
      <c r="D31" s="166">
        <f t="shared" si="3"/>
        <v>29000</v>
      </c>
      <c r="E31" s="168"/>
      <c r="F31" s="169"/>
      <c r="G31" s="167"/>
      <c r="H31" s="169"/>
      <c r="I31" s="168"/>
      <c r="J31" s="174">
        <f t="shared" si="2"/>
        <v>29000</v>
      </c>
      <c r="K31" s="170">
        <v>200</v>
      </c>
      <c r="L31" s="166"/>
      <c r="M31" s="167">
        <v>0</v>
      </c>
      <c r="N31" s="166"/>
      <c r="O31" s="167"/>
      <c r="P31" s="166"/>
      <c r="Q31" s="167"/>
      <c r="R31" s="167"/>
      <c r="S31" s="170"/>
      <c r="T31" s="170"/>
      <c r="U31" s="166"/>
      <c r="V31" s="167"/>
      <c r="W31" s="175">
        <f t="shared" si="0"/>
        <v>200</v>
      </c>
      <c r="X31" s="172">
        <f t="shared" si="1"/>
        <v>28800</v>
      </c>
      <c r="Y31" s="168"/>
    </row>
    <row r="32" spans="1:25" ht="54">
      <c r="A32" s="310">
        <v>17</v>
      </c>
      <c r="B32" s="398" t="s">
        <v>1278</v>
      </c>
      <c r="C32" s="165">
        <v>29000</v>
      </c>
      <c r="D32" s="313">
        <f>C32</f>
        <v>29000</v>
      </c>
      <c r="E32" s="168"/>
      <c r="F32" s="169"/>
      <c r="G32" s="167"/>
      <c r="H32" s="169"/>
      <c r="I32" s="168"/>
      <c r="J32" s="174">
        <f t="shared" si="2"/>
        <v>29000</v>
      </c>
      <c r="K32" s="170">
        <v>200</v>
      </c>
      <c r="L32" s="166"/>
      <c r="M32" s="167">
        <v>0</v>
      </c>
      <c r="N32" s="166"/>
      <c r="O32" s="167"/>
      <c r="P32" s="166"/>
      <c r="Q32" s="167"/>
      <c r="R32" s="167"/>
      <c r="S32" s="170"/>
      <c r="T32" s="170"/>
      <c r="U32" s="166"/>
      <c r="V32" s="167"/>
      <c r="W32" s="175">
        <f t="shared" si="0"/>
        <v>200</v>
      </c>
      <c r="X32" s="172">
        <f t="shared" si="1"/>
        <v>28800</v>
      </c>
      <c r="Y32" s="168"/>
    </row>
    <row r="33" spans="1:25" ht="54">
      <c r="A33" s="310">
        <v>18</v>
      </c>
      <c r="B33" s="398" t="s">
        <v>1279</v>
      </c>
      <c r="C33" s="165">
        <v>29000</v>
      </c>
      <c r="D33" s="313">
        <f>C33</f>
        <v>29000</v>
      </c>
      <c r="E33" s="168"/>
      <c r="F33" s="169"/>
      <c r="G33" s="167"/>
      <c r="H33" s="169"/>
      <c r="I33" s="168"/>
      <c r="J33" s="174">
        <f t="shared" si="2"/>
        <v>29000</v>
      </c>
      <c r="K33" s="170">
        <v>200</v>
      </c>
      <c r="L33" s="166"/>
      <c r="M33" s="167">
        <v>0</v>
      </c>
      <c r="N33" s="166"/>
      <c r="O33" s="167"/>
      <c r="P33" s="166"/>
      <c r="Q33" s="167"/>
      <c r="R33" s="167"/>
      <c r="S33" s="170"/>
      <c r="T33" s="170"/>
      <c r="U33" s="166"/>
      <c r="V33" s="167"/>
      <c r="W33" s="175">
        <f t="shared" si="0"/>
        <v>200</v>
      </c>
      <c r="X33" s="172">
        <f t="shared" si="1"/>
        <v>28800</v>
      </c>
      <c r="Y33" s="168"/>
    </row>
    <row r="34" spans="1:25" ht="54">
      <c r="A34" s="310">
        <v>19</v>
      </c>
      <c r="B34" s="398" t="s">
        <v>1141</v>
      </c>
      <c r="C34" s="165">
        <v>29000</v>
      </c>
      <c r="D34" s="313">
        <f t="shared" si="3"/>
        <v>29000</v>
      </c>
      <c r="E34" s="168"/>
      <c r="F34" s="169"/>
      <c r="G34" s="167"/>
      <c r="H34" s="169"/>
      <c r="I34" s="168"/>
      <c r="J34" s="174">
        <f t="shared" si="2"/>
        <v>29000</v>
      </c>
      <c r="K34" s="170">
        <v>200</v>
      </c>
      <c r="L34" s="166"/>
      <c r="M34" s="167">
        <v>0</v>
      </c>
      <c r="N34" s="166"/>
      <c r="O34" s="167"/>
      <c r="P34" s="166"/>
      <c r="Q34" s="167"/>
      <c r="R34" s="167"/>
      <c r="S34" s="170"/>
      <c r="T34" s="170"/>
      <c r="U34" s="166"/>
      <c r="V34" s="167"/>
      <c r="W34" s="175">
        <f t="shared" si="0"/>
        <v>200</v>
      </c>
      <c r="X34" s="172">
        <f t="shared" si="1"/>
        <v>28800</v>
      </c>
      <c r="Y34" s="168"/>
    </row>
    <row r="35" spans="1:25" ht="54">
      <c r="A35" s="310">
        <v>21</v>
      </c>
      <c r="B35" s="398" t="s">
        <v>1185</v>
      </c>
      <c r="C35" s="165">
        <v>29000</v>
      </c>
      <c r="D35" s="313">
        <f t="shared" si="3"/>
        <v>29000</v>
      </c>
      <c r="E35" s="168"/>
      <c r="F35" s="169"/>
      <c r="G35" s="167"/>
      <c r="H35" s="169"/>
      <c r="I35" s="168"/>
      <c r="J35" s="174">
        <f t="shared" si="2"/>
        <v>29000</v>
      </c>
      <c r="K35" s="170">
        <v>200</v>
      </c>
      <c r="L35" s="166"/>
      <c r="M35" s="167">
        <v>0</v>
      </c>
      <c r="N35" s="166"/>
      <c r="O35" s="167"/>
      <c r="P35" s="166"/>
      <c r="Q35" s="167"/>
      <c r="R35" s="167"/>
      <c r="S35" s="170"/>
      <c r="T35" s="170"/>
      <c r="U35" s="166"/>
      <c r="V35" s="167"/>
      <c r="W35" s="175">
        <f t="shared" si="0"/>
        <v>200</v>
      </c>
      <c r="X35" s="172">
        <f t="shared" si="1"/>
        <v>28800</v>
      </c>
      <c r="Y35" s="168"/>
    </row>
    <row r="36" spans="1:25" ht="54">
      <c r="A36" s="310">
        <v>22</v>
      </c>
      <c r="B36" s="398" t="s">
        <v>1375</v>
      </c>
      <c r="C36" s="165">
        <v>29000</v>
      </c>
      <c r="D36" s="313">
        <f t="shared" si="3"/>
        <v>29000</v>
      </c>
      <c r="E36" s="168"/>
      <c r="F36" s="169"/>
      <c r="G36" s="167"/>
      <c r="H36" s="169"/>
      <c r="I36" s="167"/>
      <c r="J36" s="174">
        <f t="shared" si="2"/>
        <v>29000</v>
      </c>
      <c r="K36" s="170">
        <v>200</v>
      </c>
      <c r="L36" s="166">
        <v>2900</v>
      </c>
      <c r="M36" s="167"/>
      <c r="N36" s="166"/>
      <c r="O36" s="167"/>
      <c r="P36" s="166"/>
      <c r="Q36" s="167"/>
      <c r="R36" s="167"/>
      <c r="S36" s="170"/>
      <c r="T36" s="170"/>
      <c r="U36" s="166"/>
      <c r="V36" s="167"/>
      <c r="W36" s="175">
        <f t="shared" si="0"/>
        <v>3100</v>
      </c>
      <c r="X36" s="172">
        <f t="shared" si="1"/>
        <v>25900</v>
      </c>
      <c r="Y36" s="168"/>
    </row>
    <row r="37" spans="1:25" ht="54">
      <c r="A37" s="310">
        <v>23</v>
      </c>
      <c r="B37" s="398" t="s">
        <v>1489</v>
      </c>
      <c r="C37" s="165">
        <v>29000</v>
      </c>
      <c r="D37" s="313">
        <f t="shared" si="3"/>
        <v>29000</v>
      </c>
      <c r="E37" s="168"/>
      <c r="F37" s="169"/>
      <c r="G37" s="167"/>
      <c r="H37" s="169"/>
      <c r="I37" s="167"/>
      <c r="J37" s="174">
        <f t="shared" si="2"/>
        <v>29000</v>
      </c>
      <c r="K37" s="170">
        <v>200</v>
      </c>
      <c r="L37" s="166"/>
      <c r="M37" s="167"/>
      <c r="N37" s="166"/>
      <c r="O37" s="167"/>
      <c r="P37" s="166"/>
      <c r="Q37" s="167"/>
      <c r="R37" s="167"/>
      <c r="S37" s="170"/>
      <c r="T37" s="170"/>
      <c r="U37" s="166"/>
      <c r="V37" s="167"/>
      <c r="W37" s="175">
        <f t="shared" si="0"/>
        <v>200</v>
      </c>
      <c r="X37" s="172">
        <f t="shared" si="1"/>
        <v>28800</v>
      </c>
      <c r="Y37" s="168"/>
    </row>
    <row r="38" spans="1:25" ht="63" customHeight="1">
      <c r="A38" s="310">
        <v>24</v>
      </c>
      <c r="B38" s="398" t="s">
        <v>1498</v>
      </c>
      <c r="C38" s="165">
        <v>31000</v>
      </c>
      <c r="D38" s="313">
        <f>C38*30/31</f>
        <v>30000</v>
      </c>
      <c r="E38" s="168"/>
      <c r="F38" s="169"/>
      <c r="G38" s="167"/>
      <c r="H38" s="169"/>
      <c r="I38" s="167"/>
      <c r="J38" s="174">
        <f t="shared" si="2"/>
        <v>30000</v>
      </c>
      <c r="K38" s="170">
        <v>200</v>
      </c>
      <c r="L38" s="166"/>
      <c r="M38" s="167"/>
      <c r="N38" s="166"/>
      <c r="O38" s="167"/>
      <c r="P38" s="166"/>
      <c r="Q38" s="167"/>
      <c r="R38" s="167"/>
      <c r="S38" s="170"/>
      <c r="T38" s="170"/>
      <c r="U38" s="166"/>
      <c r="V38" s="167"/>
      <c r="W38" s="175">
        <f t="shared" si="0"/>
        <v>200</v>
      </c>
      <c r="X38" s="172">
        <f t="shared" si="1"/>
        <v>29800</v>
      </c>
      <c r="Y38" s="168"/>
    </row>
    <row r="39" spans="1:25" s="413" customFormat="1" ht="63" customHeight="1">
      <c r="A39" s="401">
        <v>25</v>
      </c>
      <c r="B39" s="402" t="s">
        <v>1601</v>
      </c>
      <c r="C39" s="403">
        <v>29000</v>
      </c>
      <c r="D39" s="404">
        <v>0</v>
      </c>
      <c r="E39" s="405"/>
      <c r="F39" s="406"/>
      <c r="G39" s="407"/>
      <c r="H39" s="406"/>
      <c r="I39" s="407"/>
      <c r="J39" s="408">
        <f t="shared" si="2"/>
        <v>0</v>
      </c>
      <c r="K39" s="409"/>
      <c r="L39" s="410"/>
      <c r="M39" s="407"/>
      <c r="N39" s="410"/>
      <c r="O39" s="407"/>
      <c r="P39" s="410"/>
      <c r="Q39" s="407"/>
      <c r="R39" s="407"/>
      <c r="S39" s="409"/>
      <c r="T39" s="409"/>
      <c r="U39" s="410"/>
      <c r="V39" s="407"/>
      <c r="W39" s="411">
        <f t="shared" si="0"/>
        <v>0</v>
      </c>
      <c r="X39" s="412">
        <f t="shared" si="1"/>
        <v>0</v>
      </c>
      <c r="Y39" s="405"/>
    </row>
    <row r="40" spans="1:25" ht="63" customHeight="1">
      <c r="A40" s="310">
        <v>26</v>
      </c>
      <c r="B40" s="398" t="s">
        <v>1192</v>
      </c>
      <c r="C40" s="165">
        <v>29000</v>
      </c>
      <c r="D40" s="313">
        <f>C40</f>
        <v>29000</v>
      </c>
      <c r="E40" s="168"/>
      <c r="F40" s="169"/>
      <c r="G40" s="167"/>
      <c r="H40" s="169"/>
      <c r="I40" s="167"/>
      <c r="J40" s="174">
        <f t="shared" si="2"/>
        <v>29000</v>
      </c>
      <c r="K40" s="170">
        <v>200</v>
      </c>
      <c r="L40" s="166"/>
      <c r="M40" s="167"/>
      <c r="N40" s="166"/>
      <c r="O40" s="167"/>
      <c r="P40" s="166"/>
      <c r="Q40" s="167"/>
      <c r="R40" s="167"/>
      <c r="S40" s="170"/>
      <c r="T40" s="170"/>
      <c r="U40" s="166"/>
      <c r="V40" s="167"/>
      <c r="W40" s="175">
        <f t="shared" si="0"/>
        <v>200</v>
      </c>
      <c r="X40" s="172">
        <f t="shared" si="1"/>
        <v>28800</v>
      </c>
      <c r="Y40" s="168"/>
    </row>
    <row r="41" spans="1:25" ht="63" customHeight="1">
      <c r="A41" s="310">
        <v>27</v>
      </c>
      <c r="B41" s="398" t="s">
        <v>1210</v>
      </c>
      <c r="C41" s="165">
        <v>29000</v>
      </c>
      <c r="D41" s="313">
        <f>C41</f>
        <v>29000</v>
      </c>
      <c r="E41" s="168"/>
      <c r="F41" s="169"/>
      <c r="G41" s="167"/>
      <c r="H41" s="169"/>
      <c r="I41" s="167"/>
      <c r="J41" s="174">
        <f t="shared" si="2"/>
        <v>29000</v>
      </c>
      <c r="K41" s="170">
        <v>200</v>
      </c>
      <c r="L41" s="166"/>
      <c r="M41" s="167"/>
      <c r="N41" s="166"/>
      <c r="O41" s="167"/>
      <c r="P41" s="166"/>
      <c r="Q41" s="167"/>
      <c r="R41" s="167"/>
      <c r="S41" s="170"/>
      <c r="T41" s="170"/>
      <c r="U41" s="166"/>
      <c r="V41" s="167"/>
      <c r="W41" s="175">
        <f t="shared" si="0"/>
        <v>200</v>
      </c>
      <c r="X41" s="172">
        <f t="shared" si="1"/>
        <v>28800</v>
      </c>
      <c r="Y41" s="168"/>
    </row>
    <row r="42" spans="1:25" ht="73.5" customHeight="1">
      <c r="A42" s="310">
        <v>28</v>
      </c>
      <c r="B42" s="398" t="s">
        <v>1259</v>
      </c>
      <c r="C42" s="165">
        <v>29000</v>
      </c>
      <c r="D42" s="313">
        <v>0</v>
      </c>
      <c r="E42" s="168"/>
      <c r="F42" s="169"/>
      <c r="G42" s="167"/>
      <c r="H42" s="169"/>
      <c r="I42" s="167"/>
      <c r="J42" s="174">
        <f>SUM(D42:I42)</f>
        <v>0</v>
      </c>
      <c r="K42" s="170">
        <v>0</v>
      </c>
      <c r="L42" s="166"/>
      <c r="M42" s="167"/>
      <c r="N42" s="166"/>
      <c r="O42" s="167"/>
      <c r="P42" s="166"/>
      <c r="Q42" s="167"/>
      <c r="R42" s="167"/>
      <c r="S42" s="170"/>
      <c r="T42" s="170"/>
      <c r="U42" s="166"/>
      <c r="V42" s="167"/>
      <c r="W42" s="175">
        <f>SUM(K42:V42)</f>
        <v>0</v>
      </c>
      <c r="X42" s="172">
        <f>J42-W42</f>
        <v>0</v>
      </c>
      <c r="Y42" s="168"/>
    </row>
    <row r="43" spans="1:25" ht="63" customHeight="1">
      <c r="A43" s="310">
        <v>29</v>
      </c>
      <c r="B43" s="398" t="s">
        <v>1403</v>
      </c>
      <c r="C43" s="165">
        <v>29000</v>
      </c>
      <c r="D43" s="313">
        <f>C43</f>
        <v>29000</v>
      </c>
      <c r="E43" s="168"/>
      <c r="F43" s="169"/>
      <c r="G43" s="167"/>
      <c r="H43" s="169"/>
      <c r="I43" s="167"/>
      <c r="J43" s="174">
        <f>SUM(D43:I43)</f>
        <v>29000</v>
      </c>
      <c r="K43" s="170">
        <v>200</v>
      </c>
      <c r="L43" s="166"/>
      <c r="M43" s="167"/>
      <c r="N43" s="166"/>
      <c r="O43" s="167"/>
      <c r="P43" s="166"/>
      <c r="Q43" s="167"/>
      <c r="R43" s="167"/>
      <c r="S43" s="170"/>
      <c r="T43" s="170"/>
      <c r="U43" s="166"/>
      <c r="V43" s="167"/>
      <c r="W43" s="175">
        <f>SUM(K43:V43)</f>
        <v>200</v>
      </c>
      <c r="X43" s="172">
        <f>J43-W43</f>
        <v>28800</v>
      </c>
      <c r="Y43" s="168"/>
    </row>
    <row r="44" spans="1:25" ht="63" customHeight="1">
      <c r="A44" s="310">
        <v>30</v>
      </c>
      <c r="B44" s="398" t="s">
        <v>1559</v>
      </c>
      <c r="C44" s="165">
        <v>29000</v>
      </c>
      <c r="D44" s="313">
        <f>ROUND(C44*25/31,0)</f>
        <v>23387</v>
      </c>
      <c r="E44" s="168"/>
      <c r="F44" s="169"/>
      <c r="G44" s="167"/>
      <c r="H44" s="169"/>
      <c r="I44" s="167"/>
      <c r="J44" s="174">
        <f>SUM(D44:I44)</f>
        <v>23387</v>
      </c>
      <c r="K44" s="170">
        <v>200</v>
      </c>
      <c r="L44" s="166"/>
      <c r="M44" s="167"/>
      <c r="N44" s="166"/>
      <c r="O44" s="167"/>
      <c r="P44" s="166"/>
      <c r="Q44" s="167"/>
      <c r="R44" s="167"/>
      <c r="S44" s="170"/>
      <c r="T44" s="170"/>
      <c r="U44" s="166"/>
      <c r="V44" s="167"/>
      <c r="W44" s="175">
        <f>SUM(K44:V44)</f>
        <v>200</v>
      </c>
      <c r="X44" s="172">
        <f>J44-W44</f>
        <v>23187</v>
      </c>
      <c r="Y44" s="168"/>
    </row>
    <row r="45" spans="1:25" ht="17.25" customHeight="1">
      <c r="A45" s="310">
        <v>31</v>
      </c>
      <c r="B45" s="181" t="s">
        <v>1556</v>
      </c>
      <c r="C45" s="182"/>
      <c r="D45" s="166"/>
      <c r="E45" s="168"/>
      <c r="F45" s="169"/>
      <c r="G45" s="167"/>
      <c r="H45" s="169"/>
      <c r="I45" s="168"/>
      <c r="J45" s="174">
        <f t="shared" si="2"/>
        <v>0</v>
      </c>
      <c r="K45" s="170"/>
      <c r="L45" s="166"/>
      <c r="M45" s="167"/>
      <c r="N45" s="166"/>
      <c r="O45" s="167"/>
      <c r="P45" s="166"/>
      <c r="Q45" s="167"/>
      <c r="R45" s="167"/>
      <c r="S45" s="170"/>
      <c r="T45" s="170"/>
      <c r="U45" s="166"/>
      <c r="V45" s="167"/>
      <c r="W45" s="175">
        <f t="shared" si="0"/>
        <v>0</v>
      </c>
      <c r="X45" s="172">
        <f t="shared" si="1"/>
        <v>0</v>
      </c>
      <c r="Y45" s="168"/>
    </row>
    <row r="46" spans="1:25" ht="15">
      <c r="A46" s="178" t="s">
        <v>155</v>
      </c>
      <c r="B46" s="183" t="s">
        <v>47</v>
      </c>
      <c r="C46" s="180"/>
      <c r="D46" s="169"/>
      <c r="E46" s="168"/>
      <c r="F46" s="169"/>
      <c r="G46" s="168"/>
      <c r="H46" s="169"/>
      <c r="I46" s="168"/>
      <c r="J46" s="174">
        <f t="shared" si="2"/>
        <v>0</v>
      </c>
      <c r="K46" s="170"/>
      <c r="L46" s="166"/>
      <c r="M46" s="167"/>
      <c r="N46" s="166"/>
      <c r="O46" s="167"/>
      <c r="P46" s="166"/>
      <c r="Q46" s="167"/>
      <c r="R46" s="167"/>
      <c r="S46" s="170"/>
      <c r="T46" s="170"/>
      <c r="U46" s="166"/>
      <c r="V46" s="167"/>
      <c r="W46" s="175">
        <f t="shared" si="0"/>
        <v>0</v>
      </c>
      <c r="X46" s="172">
        <f t="shared" si="1"/>
        <v>0</v>
      </c>
      <c r="Y46" s="173"/>
    </row>
    <row r="47" spans="1:25" s="177" customFormat="1" ht="15">
      <c r="A47" s="178" t="s">
        <v>160</v>
      </c>
      <c r="B47" s="179" t="s">
        <v>28</v>
      </c>
      <c r="C47" s="165"/>
      <c r="D47" s="166"/>
      <c r="E47" s="167"/>
      <c r="F47" s="166"/>
      <c r="G47" s="167"/>
      <c r="H47" s="166"/>
      <c r="I47" s="167"/>
      <c r="J47" s="174">
        <f t="shared" si="2"/>
        <v>0</v>
      </c>
      <c r="K47" s="170"/>
      <c r="L47" s="166"/>
      <c r="M47" s="167"/>
      <c r="N47" s="166"/>
      <c r="O47" s="167"/>
      <c r="P47" s="166"/>
      <c r="Q47" s="167"/>
      <c r="R47" s="167"/>
      <c r="S47" s="170"/>
      <c r="T47" s="170"/>
      <c r="U47" s="166"/>
      <c r="V47" s="167"/>
      <c r="W47" s="175">
        <f t="shared" si="0"/>
        <v>0</v>
      </c>
      <c r="X47" s="172">
        <f t="shared" si="1"/>
        <v>0</v>
      </c>
      <c r="Y47" s="172"/>
    </row>
    <row r="48" spans="1:25" ht="17.25" customHeight="1">
      <c r="A48" s="178" t="s">
        <v>341</v>
      </c>
      <c r="B48" s="183" t="s">
        <v>217</v>
      </c>
      <c r="C48" s="180"/>
      <c r="D48" s="169"/>
      <c r="E48" s="168"/>
      <c r="F48" s="169"/>
      <c r="G48" s="168"/>
      <c r="H48" s="169"/>
      <c r="I48" s="168"/>
      <c r="J48" s="174">
        <f t="shared" si="2"/>
        <v>0</v>
      </c>
      <c r="K48" s="170"/>
      <c r="L48" s="166"/>
      <c r="M48" s="167"/>
      <c r="N48" s="166"/>
      <c r="O48" s="167"/>
      <c r="P48" s="166"/>
      <c r="Q48" s="167"/>
      <c r="R48" s="167"/>
      <c r="S48" s="170"/>
      <c r="T48" s="170"/>
      <c r="U48" s="166"/>
      <c r="V48" s="167"/>
      <c r="W48" s="175">
        <f t="shared" si="0"/>
        <v>0</v>
      </c>
      <c r="X48" s="172">
        <f t="shared" si="1"/>
        <v>0</v>
      </c>
      <c r="Y48" s="173"/>
    </row>
    <row r="49" spans="1:25" s="177" customFormat="1" ht="66.75" customHeight="1">
      <c r="A49" s="163">
        <v>1</v>
      </c>
      <c r="B49" s="164" t="s">
        <v>1597</v>
      </c>
      <c r="C49" s="165">
        <v>10000</v>
      </c>
      <c r="D49" s="166">
        <f>ROUND(C49*28/31,0)</f>
        <v>9032</v>
      </c>
      <c r="E49" s="167"/>
      <c r="F49" s="166"/>
      <c r="G49" s="167"/>
      <c r="H49" s="166"/>
      <c r="I49" s="167"/>
      <c r="J49" s="174">
        <f t="shared" si="2"/>
        <v>9032</v>
      </c>
      <c r="K49" s="170">
        <v>0</v>
      </c>
      <c r="L49" s="166"/>
      <c r="M49" s="167"/>
      <c r="N49" s="166"/>
      <c r="O49" s="167"/>
      <c r="P49" s="166"/>
      <c r="Q49" s="167"/>
      <c r="R49" s="167"/>
      <c r="S49" s="170"/>
      <c r="T49" s="170"/>
      <c r="U49" s="166"/>
      <c r="V49" s="167"/>
      <c r="W49" s="175">
        <f t="shared" si="0"/>
        <v>0</v>
      </c>
      <c r="X49" s="172">
        <f t="shared" si="1"/>
        <v>9032</v>
      </c>
      <c r="Y49" s="172"/>
    </row>
    <row r="50" spans="1:25" ht="16.5" customHeight="1">
      <c r="A50" s="178" t="s">
        <v>8</v>
      </c>
      <c r="B50" s="184" t="s">
        <v>4</v>
      </c>
      <c r="C50" s="180"/>
      <c r="D50" s="169"/>
      <c r="E50" s="168"/>
      <c r="F50" s="169"/>
      <c r="G50" s="168"/>
      <c r="H50" s="169"/>
      <c r="I50" s="168"/>
      <c r="J50" s="174">
        <f t="shared" si="2"/>
        <v>0</v>
      </c>
      <c r="K50" s="170"/>
      <c r="L50" s="166"/>
      <c r="M50" s="167"/>
      <c r="N50" s="166"/>
      <c r="O50" s="167"/>
      <c r="P50" s="166"/>
      <c r="Q50" s="167"/>
      <c r="R50" s="167"/>
      <c r="S50" s="170"/>
      <c r="T50" s="170"/>
      <c r="U50" s="166"/>
      <c r="V50" s="167"/>
      <c r="W50" s="175">
        <f t="shared" si="0"/>
        <v>0</v>
      </c>
      <c r="X50" s="172">
        <f t="shared" si="1"/>
        <v>0</v>
      </c>
      <c r="Y50" s="173"/>
    </row>
    <row r="51" spans="1:25" s="177" customFormat="1" ht="26.25" customHeight="1">
      <c r="A51" s="163">
        <v>1</v>
      </c>
      <c r="B51" s="164" t="s">
        <v>1157</v>
      </c>
      <c r="C51" s="165">
        <v>16800</v>
      </c>
      <c r="D51" s="166">
        <f aca="true" t="shared" si="4" ref="D51:D59">C51</f>
        <v>16800</v>
      </c>
      <c r="E51" s="167">
        <f aca="true" t="shared" si="5" ref="E51:E75">ROUND(D51*32.5%,0)</f>
        <v>5460</v>
      </c>
      <c r="F51" s="166">
        <f aca="true" t="shared" si="6" ref="F51:F71">ROUND(D51*10%,0)</f>
        <v>1680</v>
      </c>
      <c r="G51" s="167">
        <v>100</v>
      </c>
      <c r="H51" s="166">
        <v>0</v>
      </c>
      <c r="I51" s="167"/>
      <c r="J51" s="174">
        <f t="shared" si="2"/>
        <v>24040</v>
      </c>
      <c r="K51" s="170">
        <v>200</v>
      </c>
      <c r="L51" s="166"/>
      <c r="M51" s="167">
        <v>0</v>
      </c>
      <c r="N51" s="166"/>
      <c r="O51" s="167"/>
      <c r="P51" s="166"/>
      <c r="Q51" s="167">
        <v>0</v>
      </c>
      <c r="R51" s="167"/>
      <c r="S51" s="170"/>
      <c r="T51" s="170"/>
      <c r="U51" s="166"/>
      <c r="V51" s="167">
        <f>2919/3</f>
        <v>973</v>
      </c>
      <c r="W51" s="175">
        <f t="shared" si="0"/>
        <v>1173</v>
      </c>
      <c r="X51" s="172">
        <f t="shared" si="1"/>
        <v>22867</v>
      </c>
      <c r="Y51" s="172"/>
    </row>
    <row r="52" spans="1:25" s="177" customFormat="1" ht="24.75" customHeight="1">
      <c r="A52" s="163">
        <v>2</v>
      </c>
      <c r="B52" s="164" t="s">
        <v>1158</v>
      </c>
      <c r="C52" s="165">
        <v>16800</v>
      </c>
      <c r="D52" s="166">
        <f t="shared" si="4"/>
        <v>16800</v>
      </c>
      <c r="E52" s="167">
        <f t="shared" si="5"/>
        <v>5460</v>
      </c>
      <c r="F52" s="166">
        <f t="shared" si="6"/>
        <v>1680</v>
      </c>
      <c r="G52" s="167">
        <v>100</v>
      </c>
      <c r="H52" s="166">
        <v>0</v>
      </c>
      <c r="I52" s="167"/>
      <c r="J52" s="174">
        <f t="shared" si="2"/>
        <v>24040</v>
      </c>
      <c r="K52" s="170">
        <v>200</v>
      </c>
      <c r="L52" s="166">
        <f>+F52</f>
        <v>1680</v>
      </c>
      <c r="M52" s="167">
        <v>0</v>
      </c>
      <c r="N52" s="166">
        <v>80</v>
      </c>
      <c r="O52" s="167"/>
      <c r="P52" s="166">
        <v>20</v>
      </c>
      <c r="Q52" s="167">
        <v>0</v>
      </c>
      <c r="R52" s="167"/>
      <c r="S52" s="170"/>
      <c r="T52" s="170"/>
      <c r="U52" s="166"/>
      <c r="V52" s="167">
        <f>351+817</f>
        <v>1168</v>
      </c>
      <c r="W52" s="175">
        <f t="shared" si="0"/>
        <v>3148</v>
      </c>
      <c r="X52" s="172">
        <f t="shared" si="1"/>
        <v>20892</v>
      </c>
      <c r="Y52" s="172"/>
    </row>
    <row r="53" spans="1:25" s="177" customFormat="1" ht="30" customHeight="1">
      <c r="A53" s="163">
        <v>3</v>
      </c>
      <c r="B53" s="164" t="s">
        <v>1451</v>
      </c>
      <c r="C53" s="165">
        <v>16800</v>
      </c>
      <c r="D53" s="166">
        <f t="shared" si="4"/>
        <v>16800</v>
      </c>
      <c r="E53" s="167">
        <f t="shared" si="5"/>
        <v>5460</v>
      </c>
      <c r="F53" s="166">
        <f t="shared" si="6"/>
        <v>1680</v>
      </c>
      <c r="G53" s="167">
        <v>100</v>
      </c>
      <c r="H53" s="166">
        <v>0</v>
      </c>
      <c r="I53" s="167"/>
      <c r="J53" s="174">
        <f t="shared" si="2"/>
        <v>24040</v>
      </c>
      <c r="K53" s="170">
        <v>200</v>
      </c>
      <c r="L53" s="166">
        <f aca="true" t="shared" si="7" ref="L53:L58">+F53</f>
        <v>1680</v>
      </c>
      <c r="M53" s="167">
        <v>0</v>
      </c>
      <c r="N53" s="166">
        <v>80</v>
      </c>
      <c r="O53" s="167"/>
      <c r="P53" s="166">
        <v>20</v>
      </c>
      <c r="Q53" s="167">
        <v>500</v>
      </c>
      <c r="R53" s="167"/>
      <c r="S53" s="170"/>
      <c r="T53" s="170"/>
      <c r="U53" s="166"/>
      <c r="V53" s="167">
        <f>858+394+368</f>
        <v>1620</v>
      </c>
      <c r="W53" s="175">
        <f t="shared" si="0"/>
        <v>4100</v>
      </c>
      <c r="X53" s="172">
        <f t="shared" si="1"/>
        <v>19940</v>
      </c>
      <c r="Y53" s="172"/>
    </row>
    <row r="54" spans="1:25" s="177" customFormat="1" ht="32.25" customHeight="1">
      <c r="A54" s="163">
        <v>4</v>
      </c>
      <c r="B54" s="164" t="s">
        <v>1430</v>
      </c>
      <c r="C54" s="165">
        <v>16800</v>
      </c>
      <c r="D54" s="166">
        <f t="shared" si="4"/>
        <v>16800</v>
      </c>
      <c r="E54" s="167">
        <f t="shared" si="5"/>
        <v>5460</v>
      </c>
      <c r="F54" s="166">
        <f t="shared" si="6"/>
        <v>1680</v>
      </c>
      <c r="G54" s="167">
        <v>100</v>
      </c>
      <c r="H54" s="166">
        <v>0</v>
      </c>
      <c r="I54" s="167"/>
      <c r="J54" s="174">
        <f t="shared" si="2"/>
        <v>24040</v>
      </c>
      <c r="K54" s="170">
        <v>200</v>
      </c>
      <c r="L54" s="166">
        <v>1680</v>
      </c>
      <c r="M54" s="167">
        <v>0</v>
      </c>
      <c r="N54" s="166">
        <v>80</v>
      </c>
      <c r="O54" s="167"/>
      <c r="P54" s="166">
        <v>20</v>
      </c>
      <c r="Q54" s="167">
        <v>0</v>
      </c>
      <c r="R54" s="167"/>
      <c r="S54" s="170"/>
      <c r="T54" s="170"/>
      <c r="U54" s="166"/>
      <c r="V54" s="167">
        <f>954+569+1352</f>
        <v>2875</v>
      </c>
      <c r="W54" s="175">
        <f t="shared" si="0"/>
        <v>4855</v>
      </c>
      <c r="X54" s="172">
        <f t="shared" si="1"/>
        <v>19185</v>
      </c>
      <c r="Y54" s="172"/>
    </row>
    <row r="55" spans="1:25" s="177" customFormat="1" ht="24.75" customHeight="1">
      <c r="A55" s="163">
        <v>5</v>
      </c>
      <c r="B55" s="164" t="s">
        <v>1075</v>
      </c>
      <c r="C55" s="165">
        <v>16800</v>
      </c>
      <c r="D55" s="166">
        <f t="shared" si="4"/>
        <v>16800</v>
      </c>
      <c r="E55" s="167">
        <f t="shared" si="5"/>
        <v>5460</v>
      </c>
      <c r="F55" s="166">
        <f>ROUND(D55*10%,0)</f>
        <v>1680</v>
      </c>
      <c r="G55" s="167">
        <v>100</v>
      </c>
      <c r="H55" s="166">
        <v>0</v>
      </c>
      <c r="I55" s="167"/>
      <c r="J55" s="174">
        <f t="shared" si="2"/>
        <v>24040</v>
      </c>
      <c r="K55" s="170">
        <v>200</v>
      </c>
      <c r="L55" s="166">
        <f t="shared" si="7"/>
        <v>1680</v>
      </c>
      <c r="M55" s="167">
        <v>0</v>
      </c>
      <c r="N55" s="166">
        <v>80</v>
      </c>
      <c r="O55" s="167"/>
      <c r="P55" s="166">
        <v>20</v>
      </c>
      <c r="Q55" s="167"/>
      <c r="R55" s="167"/>
      <c r="S55" s="170"/>
      <c r="T55" s="170"/>
      <c r="U55" s="166"/>
      <c r="V55" s="167">
        <f>895+2330</f>
        <v>3225</v>
      </c>
      <c r="W55" s="175">
        <f t="shared" si="0"/>
        <v>5205</v>
      </c>
      <c r="X55" s="172">
        <f t="shared" si="1"/>
        <v>18835</v>
      </c>
      <c r="Y55" s="172"/>
    </row>
    <row r="56" spans="1:25" s="177" customFormat="1" ht="27" customHeight="1">
      <c r="A56" s="163">
        <v>6</v>
      </c>
      <c r="B56" s="164" t="s">
        <v>1452</v>
      </c>
      <c r="C56" s="165">
        <v>16800</v>
      </c>
      <c r="D56" s="166">
        <f t="shared" si="4"/>
        <v>16800</v>
      </c>
      <c r="E56" s="167">
        <f t="shared" si="5"/>
        <v>5460</v>
      </c>
      <c r="F56" s="166">
        <f t="shared" si="6"/>
        <v>1680</v>
      </c>
      <c r="G56" s="167">
        <v>100</v>
      </c>
      <c r="H56" s="166">
        <v>0</v>
      </c>
      <c r="I56" s="167"/>
      <c r="J56" s="174">
        <f t="shared" si="2"/>
        <v>24040</v>
      </c>
      <c r="K56" s="170">
        <v>200</v>
      </c>
      <c r="L56" s="166">
        <f t="shared" si="7"/>
        <v>1680</v>
      </c>
      <c r="M56" s="167">
        <v>0</v>
      </c>
      <c r="N56" s="166">
        <v>80</v>
      </c>
      <c r="O56" s="167"/>
      <c r="P56" s="166">
        <v>20</v>
      </c>
      <c r="Q56" s="167">
        <v>500</v>
      </c>
      <c r="R56" s="167"/>
      <c r="S56" s="170"/>
      <c r="T56" s="170"/>
      <c r="U56" s="166"/>
      <c r="V56" s="167">
        <f>306+908</f>
        <v>1214</v>
      </c>
      <c r="W56" s="175">
        <f t="shared" si="0"/>
        <v>3694</v>
      </c>
      <c r="X56" s="172">
        <f t="shared" si="1"/>
        <v>20346</v>
      </c>
      <c r="Y56" s="172"/>
    </row>
    <row r="57" spans="1:25" s="177" customFormat="1" ht="24.75" customHeight="1">
      <c r="A57" s="163">
        <v>7</v>
      </c>
      <c r="B57" s="164" t="s">
        <v>1159</v>
      </c>
      <c r="C57" s="165">
        <v>16800</v>
      </c>
      <c r="D57" s="166">
        <f t="shared" si="4"/>
        <v>16800</v>
      </c>
      <c r="E57" s="167">
        <f t="shared" si="5"/>
        <v>5460</v>
      </c>
      <c r="F57" s="166">
        <f t="shared" si="6"/>
        <v>1680</v>
      </c>
      <c r="G57" s="167">
        <v>100</v>
      </c>
      <c r="H57" s="166">
        <v>0</v>
      </c>
      <c r="I57" s="167"/>
      <c r="J57" s="174">
        <f t="shared" si="2"/>
        <v>24040</v>
      </c>
      <c r="K57" s="170">
        <v>200</v>
      </c>
      <c r="L57" s="166">
        <f t="shared" si="7"/>
        <v>1680</v>
      </c>
      <c r="M57" s="167">
        <v>0</v>
      </c>
      <c r="N57" s="166">
        <v>80</v>
      </c>
      <c r="O57" s="167"/>
      <c r="P57" s="166">
        <v>20</v>
      </c>
      <c r="Q57" s="167">
        <v>0</v>
      </c>
      <c r="R57" s="167"/>
      <c r="S57" s="170"/>
      <c r="T57" s="170"/>
      <c r="U57" s="166"/>
      <c r="V57" s="167">
        <f>961+2844+453+1810</f>
        <v>6068</v>
      </c>
      <c r="W57" s="175">
        <f t="shared" si="0"/>
        <v>8048</v>
      </c>
      <c r="X57" s="172">
        <f t="shared" si="1"/>
        <v>15992</v>
      </c>
      <c r="Y57" s="172"/>
    </row>
    <row r="58" spans="1:25" s="177" customFormat="1" ht="24.75" customHeight="1">
      <c r="A58" s="163">
        <v>8</v>
      </c>
      <c r="B58" s="164" t="s">
        <v>1160</v>
      </c>
      <c r="C58" s="165">
        <v>16800</v>
      </c>
      <c r="D58" s="166">
        <f t="shared" si="4"/>
        <v>16800</v>
      </c>
      <c r="E58" s="167">
        <f t="shared" si="5"/>
        <v>5460</v>
      </c>
      <c r="F58" s="166">
        <f t="shared" si="6"/>
        <v>1680</v>
      </c>
      <c r="G58" s="167">
        <v>100</v>
      </c>
      <c r="H58" s="166">
        <v>0</v>
      </c>
      <c r="I58" s="167"/>
      <c r="J58" s="174">
        <f t="shared" si="2"/>
        <v>24040</v>
      </c>
      <c r="K58" s="170">
        <v>200</v>
      </c>
      <c r="L58" s="166">
        <f t="shared" si="7"/>
        <v>1680</v>
      </c>
      <c r="M58" s="167">
        <v>0</v>
      </c>
      <c r="N58" s="166">
        <v>80</v>
      </c>
      <c r="O58" s="167"/>
      <c r="P58" s="166">
        <v>20</v>
      </c>
      <c r="Q58" s="167">
        <v>0</v>
      </c>
      <c r="R58" s="167"/>
      <c r="S58" s="170"/>
      <c r="T58" s="170"/>
      <c r="U58" s="166"/>
      <c r="V58" s="167">
        <f>817+255</f>
        <v>1072</v>
      </c>
      <c r="W58" s="175">
        <f t="shared" si="0"/>
        <v>3052</v>
      </c>
      <c r="X58" s="172">
        <f t="shared" si="1"/>
        <v>20988</v>
      </c>
      <c r="Y58" s="172"/>
    </row>
    <row r="59" spans="1:25" s="177" customFormat="1" ht="24.75" customHeight="1">
      <c r="A59" s="163">
        <v>9</v>
      </c>
      <c r="B59" s="164" t="s">
        <v>1473</v>
      </c>
      <c r="C59" s="165">
        <v>16800</v>
      </c>
      <c r="D59" s="166">
        <f t="shared" si="4"/>
        <v>16800</v>
      </c>
      <c r="E59" s="167">
        <f t="shared" si="5"/>
        <v>5460</v>
      </c>
      <c r="F59" s="166">
        <f t="shared" si="6"/>
        <v>1680</v>
      </c>
      <c r="G59" s="167">
        <v>100</v>
      </c>
      <c r="H59" s="166">
        <v>0</v>
      </c>
      <c r="I59" s="167"/>
      <c r="J59" s="174">
        <f t="shared" si="2"/>
        <v>24040</v>
      </c>
      <c r="K59" s="170">
        <v>200</v>
      </c>
      <c r="L59" s="166">
        <f>ROUND(1680*21/31,0)</f>
        <v>1138</v>
      </c>
      <c r="M59" s="167">
        <v>0</v>
      </c>
      <c r="N59" s="166"/>
      <c r="O59" s="167"/>
      <c r="P59" s="166"/>
      <c r="Q59" s="167"/>
      <c r="R59" s="167"/>
      <c r="S59" s="170"/>
      <c r="T59" s="170"/>
      <c r="U59" s="166"/>
      <c r="V59" s="167">
        <f>255+346+550+910+1882</f>
        <v>3943</v>
      </c>
      <c r="W59" s="175">
        <f t="shared" si="0"/>
        <v>5281</v>
      </c>
      <c r="X59" s="172">
        <f t="shared" si="1"/>
        <v>18759</v>
      </c>
      <c r="Y59" s="172"/>
    </row>
    <row r="60" spans="1:25" s="177" customFormat="1" ht="24.75" customHeight="1">
      <c r="A60" s="163">
        <v>10</v>
      </c>
      <c r="B60" s="164" t="s">
        <v>714</v>
      </c>
      <c r="C60" s="165">
        <v>16800</v>
      </c>
      <c r="D60" s="166">
        <f aca="true" t="shared" si="8" ref="D60:D65">C60</f>
        <v>16800</v>
      </c>
      <c r="E60" s="167">
        <f t="shared" si="5"/>
        <v>5460</v>
      </c>
      <c r="F60" s="166">
        <f>ROUND(D60*10%,0)</f>
        <v>1680</v>
      </c>
      <c r="G60" s="167">
        <v>100</v>
      </c>
      <c r="H60" s="166">
        <v>0</v>
      </c>
      <c r="I60" s="167"/>
      <c r="J60" s="174">
        <f t="shared" si="2"/>
        <v>24040</v>
      </c>
      <c r="K60" s="170">
        <v>200</v>
      </c>
      <c r="L60" s="166"/>
      <c r="M60" s="167">
        <v>0</v>
      </c>
      <c r="N60" s="166"/>
      <c r="O60" s="167"/>
      <c r="P60" s="166"/>
      <c r="Q60" s="167"/>
      <c r="R60" s="167"/>
      <c r="S60" s="170"/>
      <c r="T60" s="170"/>
      <c r="U60" s="166"/>
      <c r="V60" s="167">
        <f>1431+3085</f>
        <v>4516</v>
      </c>
      <c r="W60" s="175">
        <f t="shared" si="0"/>
        <v>4716</v>
      </c>
      <c r="X60" s="172">
        <f t="shared" si="1"/>
        <v>19324</v>
      </c>
      <c r="Y60" s="172"/>
    </row>
    <row r="61" spans="1:25" s="177" customFormat="1" ht="41.25" customHeight="1">
      <c r="A61" s="163">
        <v>11</v>
      </c>
      <c r="B61" s="164" t="s">
        <v>1493</v>
      </c>
      <c r="C61" s="165">
        <v>16800</v>
      </c>
      <c r="D61" s="166">
        <f t="shared" si="8"/>
        <v>16800</v>
      </c>
      <c r="E61" s="167">
        <f t="shared" si="5"/>
        <v>5460</v>
      </c>
      <c r="F61" s="166">
        <f t="shared" si="6"/>
        <v>1680</v>
      </c>
      <c r="G61" s="167">
        <v>100</v>
      </c>
      <c r="H61" s="166">
        <v>0</v>
      </c>
      <c r="I61" s="167"/>
      <c r="J61" s="174">
        <f t="shared" si="2"/>
        <v>24040</v>
      </c>
      <c r="K61" s="170">
        <v>200</v>
      </c>
      <c r="L61" s="166"/>
      <c r="M61" s="167">
        <v>0</v>
      </c>
      <c r="N61" s="166"/>
      <c r="O61" s="167"/>
      <c r="P61" s="166"/>
      <c r="Q61" s="167"/>
      <c r="R61" s="167"/>
      <c r="S61" s="170"/>
      <c r="T61" s="170"/>
      <c r="U61" s="166"/>
      <c r="V61" s="167">
        <v>0</v>
      </c>
      <c r="W61" s="175">
        <f t="shared" si="0"/>
        <v>200</v>
      </c>
      <c r="X61" s="172">
        <f t="shared" si="1"/>
        <v>23840</v>
      </c>
      <c r="Y61" s="172"/>
    </row>
    <row r="62" spans="1:25" s="177" customFormat="1" ht="24.75" customHeight="1">
      <c r="A62" s="163">
        <v>12</v>
      </c>
      <c r="B62" s="164" t="s">
        <v>1161</v>
      </c>
      <c r="C62" s="165">
        <v>16800</v>
      </c>
      <c r="D62" s="166">
        <f t="shared" si="8"/>
        <v>16800</v>
      </c>
      <c r="E62" s="167">
        <f t="shared" si="5"/>
        <v>5460</v>
      </c>
      <c r="F62" s="166">
        <f t="shared" si="6"/>
        <v>1680</v>
      </c>
      <c r="G62" s="167">
        <v>100</v>
      </c>
      <c r="H62" s="166">
        <v>0</v>
      </c>
      <c r="I62" s="167"/>
      <c r="J62" s="174">
        <f t="shared" si="2"/>
        <v>24040</v>
      </c>
      <c r="K62" s="170">
        <v>200</v>
      </c>
      <c r="L62" s="166">
        <f>F62</f>
        <v>1680</v>
      </c>
      <c r="M62" s="167">
        <v>0</v>
      </c>
      <c r="N62" s="166">
        <v>80</v>
      </c>
      <c r="O62" s="167"/>
      <c r="P62" s="166">
        <v>20</v>
      </c>
      <c r="Q62" s="167">
        <v>0</v>
      </c>
      <c r="R62" s="167"/>
      <c r="S62" s="170"/>
      <c r="T62" s="170"/>
      <c r="U62" s="166"/>
      <c r="V62" s="167">
        <f>193+462+1112</f>
        <v>1767</v>
      </c>
      <c r="W62" s="175">
        <f t="shared" si="0"/>
        <v>3747</v>
      </c>
      <c r="X62" s="172">
        <f t="shared" si="1"/>
        <v>20293</v>
      </c>
      <c r="Y62" s="172"/>
    </row>
    <row r="63" spans="1:25" s="177" customFormat="1" ht="39.75" customHeight="1">
      <c r="A63" s="163">
        <v>13</v>
      </c>
      <c r="B63" s="164" t="s">
        <v>1474</v>
      </c>
      <c r="C63" s="165">
        <f>16800+400</f>
        <v>17200</v>
      </c>
      <c r="D63" s="166">
        <f t="shared" si="8"/>
        <v>17200</v>
      </c>
      <c r="E63" s="167">
        <f t="shared" si="5"/>
        <v>5590</v>
      </c>
      <c r="F63" s="166">
        <f t="shared" si="6"/>
        <v>1720</v>
      </c>
      <c r="G63" s="167">
        <v>100</v>
      </c>
      <c r="H63" s="166">
        <v>0</v>
      </c>
      <c r="I63" s="167"/>
      <c r="J63" s="174">
        <f t="shared" si="2"/>
        <v>24610</v>
      </c>
      <c r="K63" s="170">
        <v>200</v>
      </c>
      <c r="L63" s="166">
        <f>+F63</f>
        <v>1720</v>
      </c>
      <c r="M63" s="167">
        <v>0</v>
      </c>
      <c r="N63" s="166">
        <v>80</v>
      </c>
      <c r="O63" s="167"/>
      <c r="P63" s="166">
        <v>20</v>
      </c>
      <c r="Q63" s="167">
        <v>0</v>
      </c>
      <c r="R63" s="167"/>
      <c r="S63" s="170"/>
      <c r="T63" s="170"/>
      <c r="U63" s="166"/>
      <c r="V63" s="167">
        <f>ROUND(306+319+427+410.5,0)</f>
        <v>1463</v>
      </c>
      <c r="W63" s="175">
        <f t="shared" si="0"/>
        <v>3483</v>
      </c>
      <c r="X63" s="172">
        <f t="shared" si="1"/>
        <v>21127</v>
      </c>
      <c r="Y63" s="172"/>
    </row>
    <row r="64" spans="1:25" s="419" customFormat="1" ht="24.75" customHeight="1">
      <c r="A64" s="414">
        <v>14</v>
      </c>
      <c r="B64" s="186" t="s">
        <v>307</v>
      </c>
      <c r="C64" s="415">
        <v>16800</v>
      </c>
      <c r="D64" s="169">
        <f t="shared" si="8"/>
        <v>16800</v>
      </c>
      <c r="E64" s="167">
        <f t="shared" si="5"/>
        <v>5460</v>
      </c>
      <c r="F64" s="169">
        <f>ROUND(D64*10%,0)</f>
        <v>1680</v>
      </c>
      <c r="G64" s="168">
        <v>100</v>
      </c>
      <c r="H64" s="169">
        <v>0</v>
      </c>
      <c r="I64" s="168"/>
      <c r="J64" s="416">
        <f t="shared" si="2"/>
        <v>24040</v>
      </c>
      <c r="K64" s="211">
        <v>200</v>
      </c>
      <c r="L64" s="169">
        <f>+F64</f>
        <v>1680</v>
      </c>
      <c r="M64" s="168">
        <v>0</v>
      </c>
      <c r="N64" s="166">
        <v>80</v>
      </c>
      <c r="O64" s="168"/>
      <c r="P64" s="169">
        <v>20</v>
      </c>
      <c r="Q64" s="168"/>
      <c r="R64" s="168"/>
      <c r="S64" s="211"/>
      <c r="T64" s="211"/>
      <c r="U64" s="169"/>
      <c r="V64" s="168">
        <v>0</v>
      </c>
      <c r="W64" s="417">
        <f t="shared" si="0"/>
        <v>1980</v>
      </c>
      <c r="X64" s="418">
        <f t="shared" si="1"/>
        <v>22060</v>
      </c>
      <c r="Y64" s="418"/>
    </row>
    <row r="65" spans="1:25" s="177" customFormat="1" ht="24.75" customHeight="1">
      <c r="A65" s="163">
        <v>15</v>
      </c>
      <c r="B65" s="164" t="s">
        <v>334</v>
      </c>
      <c r="C65" s="165">
        <v>16800</v>
      </c>
      <c r="D65" s="166">
        <f t="shared" si="8"/>
        <v>16800</v>
      </c>
      <c r="E65" s="167">
        <f t="shared" si="5"/>
        <v>5460</v>
      </c>
      <c r="F65" s="166">
        <f>ROUND(D65*10%,0)</f>
        <v>1680</v>
      </c>
      <c r="G65" s="167">
        <v>100</v>
      </c>
      <c r="H65" s="166">
        <v>0</v>
      </c>
      <c r="I65" s="167"/>
      <c r="J65" s="174">
        <f t="shared" si="2"/>
        <v>24040</v>
      </c>
      <c r="K65" s="170">
        <v>200</v>
      </c>
      <c r="L65" s="166"/>
      <c r="M65" s="167">
        <v>0</v>
      </c>
      <c r="N65" s="166"/>
      <c r="O65" s="167"/>
      <c r="P65" s="166"/>
      <c r="Q65" s="167"/>
      <c r="R65" s="167"/>
      <c r="S65" s="170"/>
      <c r="T65" s="170"/>
      <c r="U65" s="166"/>
      <c r="V65" s="167">
        <v>0</v>
      </c>
      <c r="W65" s="175">
        <f t="shared" si="0"/>
        <v>200</v>
      </c>
      <c r="X65" s="172">
        <f t="shared" si="1"/>
        <v>23840</v>
      </c>
      <c r="Y65" s="172"/>
    </row>
    <row r="66" spans="1:25" s="177" customFormat="1" ht="27">
      <c r="A66" s="163">
        <v>16</v>
      </c>
      <c r="B66" s="164" t="s">
        <v>1468</v>
      </c>
      <c r="C66" s="165">
        <v>16800</v>
      </c>
      <c r="D66" s="166">
        <v>16800</v>
      </c>
      <c r="E66" s="167">
        <f t="shared" si="5"/>
        <v>5460</v>
      </c>
      <c r="F66" s="166">
        <f t="shared" si="6"/>
        <v>1680</v>
      </c>
      <c r="G66" s="167">
        <v>100</v>
      </c>
      <c r="H66" s="166">
        <v>0</v>
      </c>
      <c r="I66" s="167"/>
      <c r="J66" s="174">
        <f t="shared" si="2"/>
        <v>24040</v>
      </c>
      <c r="K66" s="170">
        <v>200</v>
      </c>
      <c r="L66" s="166">
        <f>+F66</f>
        <v>1680</v>
      </c>
      <c r="M66" s="167">
        <v>0</v>
      </c>
      <c r="N66" s="166">
        <v>80</v>
      </c>
      <c r="O66" s="167"/>
      <c r="P66" s="166">
        <v>20</v>
      </c>
      <c r="Q66" s="167">
        <v>500</v>
      </c>
      <c r="R66" s="167"/>
      <c r="S66" s="170"/>
      <c r="T66" s="170"/>
      <c r="U66" s="166"/>
      <c r="V66" s="167">
        <f>1376+842</f>
        <v>2218</v>
      </c>
      <c r="W66" s="175">
        <f t="shared" si="0"/>
        <v>4698</v>
      </c>
      <c r="X66" s="172">
        <f t="shared" si="1"/>
        <v>19342</v>
      </c>
      <c r="Y66" s="172"/>
    </row>
    <row r="67" spans="1:25" s="177" customFormat="1" ht="24.75" customHeight="1">
      <c r="A67" s="163">
        <v>17</v>
      </c>
      <c r="B67" s="164" t="s">
        <v>1162</v>
      </c>
      <c r="C67" s="165">
        <v>16800</v>
      </c>
      <c r="D67" s="166">
        <v>16800</v>
      </c>
      <c r="E67" s="167">
        <f t="shared" si="5"/>
        <v>5460</v>
      </c>
      <c r="F67" s="166">
        <f>ROUND(D67*10%,0)</f>
        <v>1680</v>
      </c>
      <c r="G67" s="167">
        <v>100</v>
      </c>
      <c r="H67" s="166">
        <v>0</v>
      </c>
      <c r="I67" s="167"/>
      <c r="J67" s="174">
        <f t="shared" si="2"/>
        <v>24040</v>
      </c>
      <c r="K67" s="170">
        <v>200</v>
      </c>
      <c r="L67" s="166">
        <f>+F67</f>
        <v>1680</v>
      </c>
      <c r="M67" s="167">
        <v>0</v>
      </c>
      <c r="N67" s="166">
        <v>80</v>
      </c>
      <c r="O67" s="167"/>
      <c r="P67" s="166">
        <v>20</v>
      </c>
      <c r="Q67" s="167">
        <v>0</v>
      </c>
      <c r="R67" s="167"/>
      <c r="S67" s="170"/>
      <c r="T67" s="170"/>
      <c r="U67" s="166"/>
      <c r="V67" s="167">
        <f>592</f>
        <v>592</v>
      </c>
      <c r="W67" s="175">
        <f t="shared" si="0"/>
        <v>2572</v>
      </c>
      <c r="X67" s="172">
        <f t="shared" si="1"/>
        <v>21468</v>
      </c>
      <c r="Y67" s="172"/>
    </row>
    <row r="68" spans="1:25" s="177" customFormat="1" ht="29.25" customHeight="1">
      <c r="A68" s="163">
        <v>18</v>
      </c>
      <c r="B68" s="164" t="s">
        <v>1467</v>
      </c>
      <c r="C68" s="165">
        <v>16800</v>
      </c>
      <c r="D68" s="166">
        <v>16800</v>
      </c>
      <c r="E68" s="167">
        <f t="shared" si="5"/>
        <v>5460</v>
      </c>
      <c r="F68" s="166">
        <f>ROUND(D68*10%,0)</f>
        <v>1680</v>
      </c>
      <c r="G68" s="167">
        <v>100</v>
      </c>
      <c r="H68" s="166">
        <v>0</v>
      </c>
      <c r="I68" s="167"/>
      <c r="J68" s="174">
        <f t="shared" si="2"/>
        <v>24040</v>
      </c>
      <c r="K68" s="170">
        <v>200</v>
      </c>
      <c r="L68" s="166"/>
      <c r="M68" s="167">
        <v>0</v>
      </c>
      <c r="N68" s="166"/>
      <c r="O68" s="167"/>
      <c r="P68" s="166"/>
      <c r="Q68" s="167">
        <v>500</v>
      </c>
      <c r="R68" s="167"/>
      <c r="S68" s="170"/>
      <c r="T68" s="170"/>
      <c r="U68" s="166"/>
      <c r="V68" s="167">
        <f>1126+1398</f>
        <v>2524</v>
      </c>
      <c r="W68" s="175">
        <f t="shared" si="0"/>
        <v>3224</v>
      </c>
      <c r="X68" s="172">
        <f t="shared" si="1"/>
        <v>20816</v>
      </c>
      <c r="Y68" s="172"/>
    </row>
    <row r="69" spans="1:25" s="177" customFormat="1" ht="15">
      <c r="A69" s="163">
        <v>19</v>
      </c>
      <c r="B69" s="164" t="s">
        <v>1349</v>
      </c>
      <c r="C69" s="165">
        <v>16800</v>
      </c>
      <c r="D69" s="166">
        <f>C69</f>
        <v>16800</v>
      </c>
      <c r="E69" s="167">
        <f t="shared" si="5"/>
        <v>5460</v>
      </c>
      <c r="F69" s="166">
        <f t="shared" si="6"/>
        <v>1680</v>
      </c>
      <c r="G69" s="167">
        <v>100</v>
      </c>
      <c r="H69" s="166">
        <v>0</v>
      </c>
      <c r="I69" s="167"/>
      <c r="J69" s="174">
        <f t="shared" si="2"/>
        <v>24040</v>
      </c>
      <c r="K69" s="170">
        <v>200</v>
      </c>
      <c r="L69" s="166">
        <f>+F69</f>
        <v>1680</v>
      </c>
      <c r="M69" s="167">
        <v>0</v>
      </c>
      <c r="N69" s="166">
        <v>80</v>
      </c>
      <c r="O69" s="167"/>
      <c r="P69" s="166">
        <v>20</v>
      </c>
      <c r="Q69" s="167">
        <v>0</v>
      </c>
      <c r="R69" s="167"/>
      <c r="S69" s="170"/>
      <c r="T69" s="170"/>
      <c r="U69" s="166"/>
      <c r="V69" s="167">
        <v>660</v>
      </c>
      <c r="W69" s="175">
        <f t="shared" si="0"/>
        <v>2640</v>
      </c>
      <c r="X69" s="172">
        <f t="shared" si="1"/>
        <v>21400</v>
      </c>
      <c r="Y69" s="172"/>
    </row>
    <row r="70" spans="1:25" s="177" customFormat="1" ht="24.75" customHeight="1">
      <c r="A70" s="163">
        <v>20</v>
      </c>
      <c r="B70" s="164" t="s">
        <v>1542</v>
      </c>
      <c r="C70" s="165">
        <v>16800</v>
      </c>
      <c r="D70" s="166">
        <f>ROUND(C70*7/31,0)</f>
        <v>3794</v>
      </c>
      <c r="E70" s="167">
        <f t="shared" si="5"/>
        <v>1233</v>
      </c>
      <c r="F70" s="166">
        <f t="shared" si="6"/>
        <v>379</v>
      </c>
      <c r="G70" s="167">
        <f>ROUND(100*7/31,0)</f>
        <v>23</v>
      </c>
      <c r="H70" s="166">
        <v>0</v>
      </c>
      <c r="I70" s="167"/>
      <c r="J70" s="174">
        <f t="shared" si="2"/>
        <v>5429</v>
      </c>
      <c r="K70" s="170">
        <v>200</v>
      </c>
      <c r="L70" s="166">
        <v>1680</v>
      </c>
      <c r="M70" s="167">
        <v>0</v>
      </c>
      <c r="N70" s="166">
        <v>80</v>
      </c>
      <c r="O70" s="167"/>
      <c r="P70" s="166">
        <v>20</v>
      </c>
      <c r="Q70" s="167">
        <v>0</v>
      </c>
      <c r="R70" s="167"/>
      <c r="S70" s="170"/>
      <c r="T70" s="170"/>
      <c r="U70" s="166"/>
      <c r="V70" s="167">
        <f>602+510</f>
        <v>1112</v>
      </c>
      <c r="W70" s="175">
        <f t="shared" si="0"/>
        <v>3092</v>
      </c>
      <c r="X70" s="172">
        <f t="shared" si="1"/>
        <v>2337</v>
      </c>
      <c r="Y70" s="172"/>
    </row>
    <row r="71" spans="1:25" s="177" customFormat="1" ht="30" customHeight="1">
      <c r="A71" s="163">
        <v>21</v>
      </c>
      <c r="B71" s="164" t="s">
        <v>1453</v>
      </c>
      <c r="C71" s="165">
        <v>16800</v>
      </c>
      <c r="D71" s="166">
        <v>16800</v>
      </c>
      <c r="E71" s="167">
        <f t="shared" si="5"/>
        <v>5460</v>
      </c>
      <c r="F71" s="166">
        <f t="shared" si="6"/>
        <v>1680</v>
      </c>
      <c r="G71" s="167">
        <v>100</v>
      </c>
      <c r="H71" s="166">
        <v>0</v>
      </c>
      <c r="I71" s="167"/>
      <c r="J71" s="174">
        <f t="shared" si="2"/>
        <v>24040</v>
      </c>
      <c r="K71" s="170">
        <v>200</v>
      </c>
      <c r="L71" s="166">
        <f>+F71</f>
        <v>1680</v>
      </c>
      <c r="M71" s="167">
        <v>0</v>
      </c>
      <c r="N71" s="166">
        <v>80</v>
      </c>
      <c r="O71" s="167"/>
      <c r="P71" s="166">
        <v>20</v>
      </c>
      <c r="Q71" s="167">
        <v>500</v>
      </c>
      <c r="R71" s="167"/>
      <c r="S71" s="170"/>
      <c r="T71" s="170"/>
      <c r="U71" s="166"/>
      <c r="V71" s="167">
        <f>510+645+900+650</f>
        <v>2705</v>
      </c>
      <c r="W71" s="175">
        <f t="shared" si="0"/>
        <v>5185</v>
      </c>
      <c r="X71" s="172">
        <f t="shared" si="1"/>
        <v>18855</v>
      </c>
      <c r="Y71" s="172"/>
    </row>
    <row r="72" spans="1:25" s="177" customFormat="1" ht="24.75" customHeight="1">
      <c r="A72" s="163">
        <v>22</v>
      </c>
      <c r="B72" s="164" t="s">
        <v>1163</v>
      </c>
      <c r="C72" s="165">
        <v>16800</v>
      </c>
      <c r="D72" s="166">
        <v>16800</v>
      </c>
      <c r="E72" s="167">
        <f t="shared" si="5"/>
        <v>5460</v>
      </c>
      <c r="F72" s="166">
        <f>ROUND(D72*10%,0)</f>
        <v>1680</v>
      </c>
      <c r="G72" s="167">
        <v>100</v>
      </c>
      <c r="H72" s="166">
        <v>0</v>
      </c>
      <c r="I72" s="167"/>
      <c r="J72" s="174">
        <f aca="true" t="shared" si="9" ref="J72:J103">SUM(D72:I72)</f>
        <v>24040</v>
      </c>
      <c r="K72" s="170">
        <v>200</v>
      </c>
      <c r="L72" s="166"/>
      <c r="M72" s="167">
        <v>0</v>
      </c>
      <c r="N72" s="166"/>
      <c r="O72" s="167"/>
      <c r="P72" s="166"/>
      <c r="Q72" s="167">
        <v>0</v>
      </c>
      <c r="R72" s="167"/>
      <c r="S72" s="170"/>
      <c r="T72" s="170"/>
      <c r="U72" s="166"/>
      <c r="V72" s="167">
        <f>954+454</f>
        <v>1408</v>
      </c>
      <c r="W72" s="175">
        <f aca="true" t="shared" si="10" ref="W72:W103">SUM(K72:V72)</f>
        <v>1608</v>
      </c>
      <c r="X72" s="172">
        <f aca="true" t="shared" si="11" ref="X72:X112">J72-W72</f>
        <v>22432</v>
      </c>
      <c r="Y72" s="172"/>
    </row>
    <row r="73" spans="1:25" s="177" customFormat="1" ht="24.75" customHeight="1">
      <c r="A73" s="163">
        <v>24</v>
      </c>
      <c r="B73" s="164" t="s">
        <v>1466</v>
      </c>
      <c r="C73" s="165">
        <v>16800</v>
      </c>
      <c r="D73" s="166">
        <v>16800</v>
      </c>
      <c r="E73" s="167">
        <f t="shared" si="5"/>
        <v>5460</v>
      </c>
      <c r="F73" s="166">
        <f>ROUND(D73*10%,0)</f>
        <v>1680</v>
      </c>
      <c r="G73" s="167">
        <v>100</v>
      </c>
      <c r="H73" s="166">
        <v>0</v>
      </c>
      <c r="I73" s="167"/>
      <c r="J73" s="174">
        <f t="shared" si="9"/>
        <v>24040</v>
      </c>
      <c r="K73" s="170">
        <v>200</v>
      </c>
      <c r="L73" s="166">
        <f>+F73</f>
        <v>1680</v>
      </c>
      <c r="M73" s="167">
        <v>0</v>
      </c>
      <c r="N73" s="166">
        <v>80</v>
      </c>
      <c r="O73" s="167"/>
      <c r="P73" s="166">
        <v>20</v>
      </c>
      <c r="Q73" s="167">
        <v>500</v>
      </c>
      <c r="R73" s="167"/>
      <c r="S73" s="170"/>
      <c r="T73" s="170"/>
      <c r="U73" s="166"/>
      <c r="V73" s="167">
        <f>483+1501</f>
        <v>1984</v>
      </c>
      <c r="W73" s="175">
        <f t="shared" si="10"/>
        <v>4464</v>
      </c>
      <c r="X73" s="172">
        <f t="shared" si="11"/>
        <v>19576</v>
      </c>
      <c r="Y73" s="172"/>
    </row>
    <row r="74" spans="1:25" s="177" customFormat="1" ht="24.75" customHeight="1">
      <c r="A74" s="163">
        <v>25</v>
      </c>
      <c r="B74" s="164" t="s">
        <v>1164</v>
      </c>
      <c r="C74" s="165">
        <v>16800</v>
      </c>
      <c r="D74" s="166">
        <v>16800</v>
      </c>
      <c r="E74" s="167">
        <f t="shared" si="5"/>
        <v>5460</v>
      </c>
      <c r="F74" s="166">
        <f>ROUND(D74*10%,0)</f>
        <v>1680</v>
      </c>
      <c r="G74" s="167">
        <v>100</v>
      </c>
      <c r="H74" s="166">
        <v>0</v>
      </c>
      <c r="I74" s="167"/>
      <c r="J74" s="174">
        <f t="shared" si="9"/>
        <v>24040</v>
      </c>
      <c r="K74" s="170">
        <v>200</v>
      </c>
      <c r="L74" s="166">
        <f>+F74</f>
        <v>1680</v>
      </c>
      <c r="M74" s="167">
        <v>0</v>
      </c>
      <c r="N74" s="166">
        <v>80</v>
      </c>
      <c r="O74" s="167"/>
      <c r="P74" s="166">
        <v>20</v>
      </c>
      <c r="Q74" s="167">
        <v>0</v>
      </c>
      <c r="R74" s="167"/>
      <c r="S74" s="170"/>
      <c r="T74" s="170"/>
      <c r="U74" s="166"/>
      <c r="V74" s="167">
        <f>550+462+1005+723</f>
        <v>2740</v>
      </c>
      <c r="W74" s="175">
        <f t="shared" si="10"/>
        <v>4720</v>
      </c>
      <c r="X74" s="172">
        <f t="shared" si="11"/>
        <v>19320</v>
      </c>
      <c r="Y74" s="172"/>
    </row>
    <row r="75" spans="1:25" s="177" customFormat="1" ht="24.75" customHeight="1">
      <c r="A75" s="163">
        <v>26</v>
      </c>
      <c r="B75" s="164" t="s">
        <v>218</v>
      </c>
      <c r="C75" s="165">
        <v>15250</v>
      </c>
      <c r="D75" s="166">
        <v>15250</v>
      </c>
      <c r="E75" s="167">
        <f t="shared" si="5"/>
        <v>4956</v>
      </c>
      <c r="F75" s="166">
        <f>ROUND(D75*10%,0)</f>
        <v>1525</v>
      </c>
      <c r="G75" s="167">
        <v>100</v>
      </c>
      <c r="H75" s="166">
        <v>0</v>
      </c>
      <c r="I75" s="167"/>
      <c r="J75" s="174">
        <f t="shared" si="9"/>
        <v>21831</v>
      </c>
      <c r="K75" s="170">
        <v>200</v>
      </c>
      <c r="L75" s="166">
        <f>+F75</f>
        <v>1525</v>
      </c>
      <c r="M75" s="167">
        <v>0</v>
      </c>
      <c r="N75" s="166"/>
      <c r="O75" s="167"/>
      <c r="P75" s="166"/>
      <c r="Q75" s="167"/>
      <c r="R75" s="167"/>
      <c r="S75" s="170"/>
      <c r="T75" s="170"/>
      <c r="U75" s="166"/>
      <c r="V75" s="167">
        <v>0</v>
      </c>
      <c r="W75" s="175">
        <f t="shared" si="10"/>
        <v>1725</v>
      </c>
      <c r="X75" s="172">
        <f t="shared" si="11"/>
        <v>20106</v>
      </c>
      <c r="Y75" s="172"/>
    </row>
    <row r="76" spans="1:25" ht="27">
      <c r="A76" s="178"/>
      <c r="B76" s="186" t="s">
        <v>243</v>
      </c>
      <c r="C76" s="180"/>
      <c r="D76" s="169"/>
      <c r="E76" s="167"/>
      <c r="F76" s="169"/>
      <c r="G76" s="168"/>
      <c r="H76" s="169"/>
      <c r="I76" s="168"/>
      <c r="J76" s="174">
        <f t="shared" si="9"/>
        <v>0</v>
      </c>
      <c r="K76" s="170"/>
      <c r="L76" s="166"/>
      <c r="M76" s="167"/>
      <c r="N76" s="166"/>
      <c r="O76" s="167"/>
      <c r="P76" s="166"/>
      <c r="Q76" s="167"/>
      <c r="R76" s="167"/>
      <c r="S76" s="170"/>
      <c r="T76" s="170"/>
      <c r="U76" s="166"/>
      <c r="V76" s="167"/>
      <c r="W76" s="175">
        <f t="shared" si="10"/>
        <v>0</v>
      </c>
      <c r="X76" s="172">
        <f t="shared" si="11"/>
        <v>0</v>
      </c>
      <c r="Y76" s="173"/>
    </row>
    <row r="77" spans="1:25" s="177" customFormat="1" ht="24.75" customHeight="1">
      <c r="A77" s="163">
        <v>27</v>
      </c>
      <c r="B77" s="164" t="s">
        <v>342</v>
      </c>
      <c r="C77" s="165">
        <v>17200</v>
      </c>
      <c r="D77" s="166">
        <f>C77</f>
        <v>17200</v>
      </c>
      <c r="E77" s="167">
        <f>ROUND(D77*32.5%,0)</f>
        <v>5590</v>
      </c>
      <c r="F77" s="166">
        <f>D77*10%</f>
        <v>1720</v>
      </c>
      <c r="G77" s="167">
        <v>100</v>
      </c>
      <c r="H77" s="166">
        <v>0</v>
      </c>
      <c r="I77" s="167"/>
      <c r="J77" s="174">
        <f t="shared" si="9"/>
        <v>24610</v>
      </c>
      <c r="K77" s="170">
        <v>200</v>
      </c>
      <c r="L77" s="166"/>
      <c r="M77" s="167">
        <v>0</v>
      </c>
      <c r="N77" s="166"/>
      <c r="O77" s="167"/>
      <c r="P77" s="166"/>
      <c r="Q77" s="167"/>
      <c r="R77" s="167"/>
      <c r="S77" s="170"/>
      <c r="T77" s="170"/>
      <c r="U77" s="166"/>
      <c r="V77" s="167">
        <f>619+683+1013</f>
        <v>2315</v>
      </c>
      <c r="W77" s="175">
        <f t="shared" si="10"/>
        <v>2515</v>
      </c>
      <c r="X77" s="172">
        <f t="shared" si="11"/>
        <v>22095</v>
      </c>
      <c r="Y77" s="172"/>
    </row>
    <row r="78" spans="1:25" s="177" customFormat="1" ht="24.75" customHeight="1">
      <c r="A78" s="163">
        <v>28</v>
      </c>
      <c r="B78" s="164" t="s">
        <v>0</v>
      </c>
      <c r="C78" s="165">
        <v>17200</v>
      </c>
      <c r="D78" s="166">
        <f>C78</f>
        <v>17200</v>
      </c>
      <c r="E78" s="167">
        <f>ROUND(D78*32.5%,0)</f>
        <v>5590</v>
      </c>
      <c r="F78" s="166">
        <f>ROUND(D78*10%,0)</f>
        <v>1720</v>
      </c>
      <c r="G78" s="167">
        <v>100</v>
      </c>
      <c r="H78" s="166">
        <v>0</v>
      </c>
      <c r="I78" s="167"/>
      <c r="J78" s="174">
        <f t="shared" si="9"/>
        <v>24610</v>
      </c>
      <c r="K78" s="170">
        <v>200</v>
      </c>
      <c r="L78" s="166"/>
      <c r="M78" s="167">
        <v>0</v>
      </c>
      <c r="N78" s="166"/>
      <c r="O78" s="167"/>
      <c r="P78" s="166"/>
      <c r="Q78" s="167"/>
      <c r="R78" s="167"/>
      <c r="S78" s="170"/>
      <c r="T78" s="170"/>
      <c r="U78" s="166"/>
      <c r="V78" s="167">
        <v>0</v>
      </c>
      <c r="W78" s="175">
        <f t="shared" si="10"/>
        <v>200</v>
      </c>
      <c r="X78" s="172">
        <f t="shared" si="11"/>
        <v>24410</v>
      </c>
      <c r="Y78" s="172"/>
    </row>
    <row r="79" spans="1:25" s="177" customFormat="1" ht="24.75" customHeight="1">
      <c r="A79" s="163">
        <v>29</v>
      </c>
      <c r="B79" s="164" t="s">
        <v>343</v>
      </c>
      <c r="C79" s="165">
        <v>17200</v>
      </c>
      <c r="D79" s="166">
        <f>C79</f>
        <v>17200</v>
      </c>
      <c r="E79" s="167">
        <f>ROUND(D79*32.5%,0)</f>
        <v>5590</v>
      </c>
      <c r="F79" s="166">
        <f>ROUND(D79*10%,0)</f>
        <v>1720</v>
      </c>
      <c r="G79" s="167">
        <v>100</v>
      </c>
      <c r="H79" s="166">
        <v>0</v>
      </c>
      <c r="I79" s="167"/>
      <c r="J79" s="174">
        <f t="shared" si="9"/>
        <v>24610</v>
      </c>
      <c r="K79" s="170">
        <v>200</v>
      </c>
      <c r="L79" s="166"/>
      <c r="M79" s="167">
        <v>0</v>
      </c>
      <c r="N79" s="166"/>
      <c r="O79" s="167"/>
      <c r="P79" s="166"/>
      <c r="Q79" s="167"/>
      <c r="R79" s="167"/>
      <c r="S79" s="170"/>
      <c r="T79" s="170"/>
      <c r="U79" s="166"/>
      <c r="V79" s="167">
        <f>1930+4396</f>
        <v>6326</v>
      </c>
      <c r="W79" s="175">
        <f t="shared" si="10"/>
        <v>6526</v>
      </c>
      <c r="X79" s="172">
        <f t="shared" si="11"/>
        <v>18084</v>
      </c>
      <c r="Y79" s="172"/>
    </row>
    <row r="80" spans="1:25" s="177" customFormat="1" ht="30.75" customHeight="1">
      <c r="A80" s="163">
        <v>30</v>
      </c>
      <c r="B80" s="164" t="s">
        <v>1454</v>
      </c>
      <c r="C80" s="165">
        <v>17200</v>
      </c>
      <c r="D80" s="166">
        <v>17200</v>
      </c>
      <c r="E80" s="167">
        <f>ROUND(D80*32.5%,0)</f>
        <v>5590</v>
      </c>
      <c r="F80" s="166">
        <f>ROUND(D80*10%,0)</f>
        <v>1720</v>
      </c>
      <c r="G80" s="167">
        <v>100</v>
      </c>
      <c r="H80" s="166">
        <v>0</v>
      </c>
      <c r="I80" s="167">
        <v>175</v>
      </c>
      <c r="J80" s="174">
        <f t="shared" si="9"/>
        <v>24785</v>
      </c>
      <c r="K80" s="170">
        <v>200</v>
      </c>
      <c r="L80" s="166"/>
      <c r="M80" s="167">
        <v>0</v>
      </c>
      <c r="N80" s="166"/>
      <c r="O80" s="167"/>
      <c r="P80" s="166"/>
      <c r="Q80" s="167">
        <v>500</v>
      </c>
      <c r="R80" s="167"/>
      <c r="S80" s="170"/>
      <c r="T80" s="170"/>
      <c r="U80" s="166"/>
      <c r="V80" s="167">
        <v>2525</v>
      </c>
      <c r="W80" s="175">
        <f t="shared" si="10"/>
        <v>3225</v>
      </c>
      <c r="X80" s="172">
        <f t="shared" si="11"/>
        <v>21560</v>
      </c>
      <c r="Y80" s="172"/>
    </row>
    <row r="81" spans="1:25" s="177" customFormat="1" ht="24.75" customHeight="1">
      <c r="A81" s="163">
        <v>31</v>
      </c>
      <c r="B81" s="164" t="s">
        <v>245</v>
      </c>
      <c r="C81" s="165">
        <v>24600</v>
      </c>
      <c r="D81" s="166">
        <f>C81</f>
        <v>24600</v>
      </c>
      <c r="E81" s="167">
        <f>ROUND(D81*32.5%,0)</f>
        <v>7995</v>
      </c>
      <c r="F81" s="166">
        <f>ROUND(D81*10%,0)</f>
        <v>2460</v>
      </c>
      <c r="G81" s="167">
        <v>100</v>
      </c>
      <c r="H81" s="166"/>
      <c r="I81" s="167"/>
      <c r="J81" s="174">
        <f t="shared" si="9"/>
        <v>35155</v>
      </c>
      <c r="K81" s="170">
        <v>200</v>
      </c>
      <c r="L81" s="166"/>
      <c r="M81" s="167">
        <v>0</v>
      </c>
      <c r="N81" s="166"/>
      <c r="O81" s="167"/>
      <c r="P81" s="166"/>
      <c r="Q81" s="167"/>
      <c r="R81" s="167">
        <v>200</v>
      </c>
      <c r="S81" s="170"/>
      <c r="T81" s="170"/>
      <c r="U81" s="166"/>
      <c r="V81" s="167">
        <v>1947</v>
      </c>
      <c r="W81" s="175">
        <f t="shared" si="10"/>
        <v>2347</v>
      </c>
      <c r="X81" s="172">
        <f t="shared" si="11"/>
        <v>32808</v>
      </c>
      <c r="Y81" s="172"/>
    </row>
    <row r="82" spans="1:25" s="177" customFormat="1" ht="45">
      <c r="A82" s="178"/>
      <c r="B82" s="183" t="s">
        <v>32</v>
      </c>
      <c r="C82" s="180"/>
      <c r="D82" s="169"/>
      <c r="E82" s="168"/>
      <c r="F82" s="169"/>
      <c r="G82" s="168"/>
      <c r="H82" s="169"/>
      <c r="I82" s="168"/>
      <c r="J82" s="174">
        <f t="shared" si="9"/>
        <v>0</v>
      </c>
      <c r="K82" s="170"/>
      <c r="L82" s="166"/>
      <c r="M82" s="167"/>
      <c r="N82" s="166"/>
      <c r="O82" s="167"/>
      <c r="P82" s="166"/>
      <c r="Q82" s="167"/>
      <c r="R82" s="167"/>
      <c r="S82" s="170"/>
      <c r="T82" s="170"/>
      <c r="U82" s="166"/>
      <c r="V82" s="167"/>
      <c r="W82" s="175">
        <f t="shared" si="10"/>
        <v>0</v>
      </c>
      <c r="X82" s="172">
        <f t="shared" si="11"/>
        <v>0</v>
      </c>
      <c r="Y82" s="173"/>
    </row>
    <row r="83" spans="1:25" s="177" customFormat="1" ht="15">
      <c r="A83" s="163">
        <v>32</v>
      </c>
      <c r="B83" s="164" t="s">
        <v>360</v>
      </c>
      <c r="C83" s="165">
        <v>10913</v>
      </c>
      <c r="D83" s="166">
        <v>10913</v>
      </c>
      <c r="E83" s="167"/>
      <c r="F83" s="166">
        <v>0</v>
      </c>
      <c r="G83" s="167">
        <v>0</v>
      </c>
      <c r="H83" s="166"/>
      <c r="I83" s="167"/>
      <c r="J83" s="174">
        <f t="shared" si="9"/>
        <v>10913</v>
      </c>
      <c r="K83" s="170">
        <v>0</v>
      </c>
      <c r="L83" s="166"/>
      <c r="M83" s="167"/>
      <c r="N83" s="166"/>
      <c r="O83" s="167"/>
      <c r="P83" s="166"/>
      <c r="Q83" s="167"/>
      <c r="R83" s="167"/>
      <c r="S83" s="185">
        <f>ROUND(J83*12/100,0)</f>
        <v>1310</v>
      </c>
      <c r="T83" s="185"/>
      <c r="U83" s="166"/>
      <c r="V83" s="167"/>
      <c r="W83" s="175">
        <f t="shared" si="10"/>
        <v>1310</v>
      </c>
      <c r="X83" s="172">
        <f t="shared" si="11"/>
        <v>9603</v>
      </c>
      <c r="Y83" s="172">
        <f>ROUND(J83*13.61/100,0)</f>
        <v>1485</v>
      </c>
    </row>
    <row r="84" spans="1:25" s="177" customFormat="1" ht="15">
      <c r="A84" s="163">
        <v>33</v>
      </c>
      <c r="B84" s="164" t="s">
        <v>140</v>
      </c>
      <c r="C84" s="165">
        <v>10913</v>
      </c>
      <c r="D84" s="166">
        <v>10913</v>
      </c>
      <c r="E84" s="167"/>
      <c r="F84" s="166">
        <v>0</v>
      </c>
      <c r="G84" s="167">
        <v>0</v>
      </c>
      <c r="H84" s="166"/>
      <c r="I84" s="167"/>
      <c r="J84" s="174">
        <f t="shared" si="9"/>
        <v>10913</v>
      </c>
      <c r="K84" s="170">
        <v>0</v>
      </c>
      <c r="L84" s="166"/>
      <c r="M84" s="167"/>
      <c r="N84" s="166"/>
      <c r="O84" s="167"/>
      <c r="P84" s="166"/>
      <c r="Q84" s="167"/>
      <c r="R84" s="167"/>
      <c r="S84" s="185">
        <f>ROUND(J84*12/100,0)</f>
        <v>1310</v>
      </c>
      <c r="T84" s="185"/>
      <c r="U84" s="166"/>
      <c r="V84" s="167"/>
      <c r="W84" s="175">
        <f t="shared" si="10"/>
        <v>1310</v>
      </c>
      <c r="X84" s="172">
        <f t="shared" si="11"/>
        <v>9603</v>
      </c>
      <c r="Y84" s="172">
        <f>ROUND(J84*13.61/100,0)</f>
        <v>1485</v>
      </c>
    </row>
    <row r="85" spans="1:25" s="177" customFormat="1" ht="30">
      <c r="A85" s="163"/>
      <c r="B85" s="183" t="s">
        <v>1306</v>
      </c>
      <c r="C85" s="165"/>
      <c r="D85" s="166"/>
      <c r="E85" s="167"/>
      <c r="F85" s="166"/>
      <c r="G85" s="167"/>
      <c r="H85" s="166"/>
      <c r="I85" s="167"/>
      <c r="J85" s="174"/>
      <c r="K85" s="170"/>
      <c r="L85" s="166"/>
      <c r="M85" s="167"/>
      <c r="N85" s="166"/>
      <c r="O85" s="167"/>
      <c r="P85" s="166"/>
      <c r="Q85" s="167"/>
      <c r="R85" s="167"/>
      <c r="S85" s="185"/>
      <c r="T85" s="185"/>
      <c r="U85" s="166"/>
      <c r="V85" s="167"/>
      <c r="W85" s="175"/>
      <c r="X85" s="172"/>
      <c r="Y85" s="172"/>
    </row>
    <row r="86" spans="1:25" s="177" customFormat="1" ht="81">
      <c r="A86" s="163">
        <v>34</v>
      </c>
      <c r="B86" s="164" t="s">
        <v>1307</v>
      </c>
      <c r="C86" s="165">
        <v>8000</v>
      </c>
      <c r="D86" s="166">
        <v>8000</v>
      </c>
      <c r="E86" s="167"/>
      <c r="F86" s="166"/>
      <c r="G86" s="167"/>
      <c r="H86" s="166"/>
      <c r="I86" s="167"/>
      <c r="J86" s="174">
        <f>SUM(D86:I86)</f>
        <v>8000</v>
      </c>
      <c r="K86" s="170">
        <v>0</v>
      </c>
      <c r="L86" s="166"/>
      <c r="M86" s="167"/>
      <c r="N86" s="166"/>
      <c r="O86" s="167"/>
      <c r="P86" s="166"/>
      <c r="Q86" s="167"/>
      <c r="R86" s="167"/>
      <c r="S86" s="185">
        <f>ROUND(J86*12/100,0)</f>
        <v>960</v>
      </c>
      <c r="T86" s="185"/>
      <c r="U86" s="166"/>
      <c r="V86" s="167"/>
      <c r="W86" s="175">
        <f>SUM(K86:V86)</f>
        <v>960</v>
      </c>
      <c r="X86" s="172">
        <f>J86-W86</f>
        <v>7040</v>
      </c>
      <c r="Y86" s="172">
        <f>ROUND(J86*13.61/100,0)</f>
        <v>1089</v>
      </c>
    </row>
    <row r="87" spans="1:25" s="177" customFormat="1" ht="67.5">
      <c r="A87" s="163">
        <v>35</v>
      </c>
      <c r="B87" s="164" t="s">
        <v>1308</v>
      </c>
      <c r="C87" s="165">
        <v>8000</v>
      </c>
      <c r="D87" s="166">
        <v>8000</v>
      </c>
      <c r="E87" s="167"/>
      <c r="F87" s="166"/>
      <c r="G87" s="167"/>
      <c r="H87" s="166"/>
      <c r="I87" s="167"/>
      <c r="J87" s="174">
        <f>SUM(D87:I87)</f>
        <v>8000</v>
      </c>
      <c r="K87" s="170"/>
      <c r="L87" s="166"/>
      <c r="M87" s="167"/>
      <c r="N87" s="166"/>
      <c r="O87" s="167"/>
      <c r="P87" s="166"/>
      <c r="Q87" s="167"/>
      <c r="R87" s="167"/>
      <c r="S87" s="185">
        <f>ROUND(J87*12/100,0)</f>
        <v>960</v>
      </c>
      <c r="T87" s="185"/>
      <c r="U87" s="166"/>
      <c r="V87" s="167"/>
      <c r="W87" s="175">
        <f>SUM(K87:V87)</f>
        <v>960</v>
      </c>
      <c r="X87" s="172">
        <f>J87-W87</f>
        <v>7040</v>
      </c>
      <c r="Y87" s="172">
        <f>ROUND(J87*13.61/100,0)</f>
        <v>1089</v>
      </c>
    </row>
    <row r="88" spans="1:25" s="177" customFormat="1" ht="81">
      <c r="A88" s="163">
        <v>36</v>
      </c>
      <c r="B88" s="164" t="s">
        <v>1309</v>
      </c>
      <c r="C88" s="165">
        <v>8000</v>
      </c>
      <c r="D88" s="166">
        <v>8000</v>
      </c>
      <c r="E88" s="167"/>
      <c r="F88" s="166"/>
      <c r="G88" s="167"/>
      <c r="H88" s="166"/>
      <c r="I88" s="167"/>
      <c r="J88" s="174">
        <f>SUM(D88:I88)</f>
        <v>8000</v>
      </c>
      <c r="K88" s="170"/>
      <c r="L88" s="166"/>
      <c r="M88" s="167"/>
      <c r="N88" s="166"/>
      <c r="O88" s="167"/>
      <c r="P88" s="166"/>
      <c r="Q88" s="167"/>
      <c r="R88" s="167"/>
      <c r="S88" s="185">
        <f>ROUND(J88*12/100,0)</f>
        <v>960</v>
      </c>
      <c r="T88" s="185"/>
      <c r="U88" s="166"/>
      <c r="V88" s="167"/>
      <c r="W88" s="175">
        <f>SUM(K88:V88)</f>
        <v>960</v>
      </c>
      <c r="X88" s="172">
        <f>J88-W88</f>
        <v>7040</v>
      </c>
      <c r="Y88" s="172">
        <f>ROUND(J88*13.61/100,0)</f>
        <v>1089</v>
      </c>
    </row>
    <row r="89" spans="1:25" s="177" customFormat="1" ht="49.5" customHeight="1">
      <c r="A89" s="163">
        <v>37</v>
      </c>
      <c r="B89" s="164" t="s">
        <v>1544</v>
      </c>
      <c r="C89" s="165">
        <v>8000</v>
      </c>
      <c r="D89" s="166">
        <f>C89</f>
        <v>8000</v>
      </c>
      <c r="E89" s="167"/>
      <c r="F89" s="166"/>
      <c r="G89" s="167"/>
      <c r="H89" s="166"/>
      <c r="I89" s="167"/>
      <c r="J89" s="174">
        <f>SUM(D89:I89)</f>
        <v>8000</v>
      </c>
      <c r="K89" s="170"/>
      <c r="L89" s="166"/>
      <c r="M89" s="167"/>
      <c r="N89" s="166"/>
      <c r="O89" s="167"/>
      <c r="P89" s="166"/>
      <c r="Q89" s="167"/>
      <c r="R89" s="167"/>
      <c r="S89" s="185"/>
      <c r="T89" s="185"/>
      <c r="U89" s="166"/>
      <c r="V89" s="167"/>
      <c r="W89" s="175">
        <f>SUM(K89:V89)</f>
        <v>0</v>
      </c>
      <c r="X89" s="172">
        <f>J89-W89</f>
        <v>8000</v>
      </c>
      <c r="Y89" s="172"/>
    </row>
    <row r="90" spans="1:25" s="177" customFormat="1" ht="15">
      <c r="A90" s="163"/>
      <c r="B90" s="179" t="s">
        <v>1553</v>
      </c>
      <c r="C90" s="165"/>
      <c r="D90" s="166"/>
      <c r="E90" s="167"/>
      <c r="F90" s="166"/>
      <c r="G90" s="167"/>
      <c r="H90" s="166"/>
      <c r="I90" s="167"/>
      <c r="J90" s="174"/>
      <c r="K90" s="170"/>
      <c r="L90" s="166"/>
      <c r="M90" s="167"/>
      <c r="N90" s="166"/>
      <c r="O90" s="167"/>
      <c r="P90" s="166"/>
      <c r="Q90" s="167"/>
      <c r="R90" s="167"/>
      <c r="S90" s="185"/>
      <c r="T90" s="185"/>
      <c r="U90" s="166"/>
      <c r="V90" s="167"/>
      <c r="W90" s="175"/>
      <c r="X90" s="172"/>
      <c r="Y90" s="172"/>
    </row>
    <row r="91" spans="1:25" s="177" customFormat="1" ht="94.5">
      <c r="A91" s="163">
        <v>1</v>
      </c>
      <c r="B91" s="164" t="s">
        <v>1564</v>
      </c>
      <c r="C91" s="165">
        <v>8000</v>
      </c>
      <c r="D91" s="166">
        <f>ROUND(C91*19/31,0)+8000+8000</f>
        <v>20903</v>
      </c>
      <c r="E91" s="167"/>
      <c r="F91" s="166"/>
      <c r="G91" s="167"/>
      <c r="H91" s="166"/>
      <c r="I91" s="167"/>
      <c r="J91" s="174">
        <f>SUM(D91:I91)</f>
        <v>20903</v>
      </c>
      <c r="K91" s="170"/>
      <c r="L91" s="166"/>
      <c r="M91" s="167"/>
      <c r="N91" s="166"/>
      <c r="O91" s="167"/>
      <c r="P91" s="166"/>
      <c r="Q91" s="167"/>
      <c r="R91" s="167"/>
      <c r="S91" s="185">
        <f>ROUND(J91*12/100,0)</f>
        <v>2508</v>
      </c>
      <c r="T91" s="185"/>
      <c r="U91" s="166"/>
      <c r="V91" s="167"/>
      <c r="W91" s="175">
        <f>SUM(K91:V91)</f>
        <v>2508</v>
      </c>
      <c r="X91" s="172">
        <f>J91-W91</f>
        <v>18395</v>
      </c>
      <c r="Y91" s="172">
        <f>ROUND(J91*13.61/100,0)</f>
        <v>2845</v>
      </c>
    </row>
    <row r="92" spans="1:25" s="177" customFormat="1" ht="67.5">
      <c r="A92" s="163">
        <v>2</v>
      </c>
      <c r="B92" s="164" t="s">
        <v>1554</v>
      </c>
      <c r="C92" s="165">
        <v>8000</v>
      </c>
      <c r="D92" s="166">
        <f>ROUND(C92*17/31,0)</f>
        <v>4387</v>
      </c>
      <c r="E92" s="167"/>
      <c r="F92" s="166"/>
      <c r="G92" s="167"/>
      <c r="H92" s="166"/>
      <c r="I92" s="167"/>
      <c r="J92" s="174">
        <f>SUM(D92:I92)</f>
        <v>4387</v>
      </c>
      <c r="K92" s="170"/>
      <c r="L92" s="166"/>
      <c r="M92" s="167"/>
      <c r="N92" s="166"/>
      <c r="O92" s="167"/>
      <c r="P92" s="166"/>
      <c r="Q92" s="167"/>
      <c r="R92" s="167"/>
      <c r="S92" s="185">
        <f>ROUND(J92*12/100,0)</f>
        <v>526</v>
      </c>
      <c r="T92" s="185"/>
      <c r="U92" s="166"/>
      <c r="V92" s="167"/>
      <c r="W92" s="175">
        <f>SUM(K92:V92)</f>
        <v>526</v>
      </c>
      <c r="X92" s="172">
        <f>J92-W92</f>
        <v>3861</v>
      </c>
      <c r="Y92" s="172">
        <f>ROUND(J92*13.61/100,0)</f>
        <v>597</v>
      </c>
    </row>
    <row r="93" spans="1:25" s="177" customFormat="1" ht="81">
      <c r="A93" s="163">
        <v>3</v>
      </c>
      <c r="B93" s="164" t="s">
        <v>1555</v>
      </c>
      <c r="C93" s="165">
        <v>8000</v>
      </c>
      <c r="D93" s="166">
        <v>0</v>
      </c>
      <c r="E93" s="167"/>
      <c r="F93" s="166"/>
      <c r="G93" s="167"/>
      <c r="H93" s="166"/>
      <c r="I93" s="167"/>
      <c r="J93" s="174">
        <f>SUM(D93:I93)</f>
        <v>0</v>
      </c>
      <c r="K93" s="170"/>
      <c r="L93" s="166"/>
      <c r="M93" s="167"/>
      <c r="N93" s="166"/>
      <c r="O93" s="167"/>
      <c r="P93" s="166"/>
      <c r="Q93" s="167"/>
      <c r="R93" s="167"/>
      <c r="S93" s="185">
        <f>ROUND(J93*12/100,0)</f>
        <v>0</v>
      </c>
      <c r="T93" s="185"/>
      <c r="U93" s="166"/>
      <c r="V93" s="167"/>
      <c r="W93" s="175">
        <f>SUM(K93:V93)</f>
        <v>0</v>
      </c>
      <c r="X93" s="172">
        <f>J93-W93</f>
        <v>0</v>
      </c>
      <c r="Y93" s="172">
        <f>ROUND(J93*13.61/100,0)</f>
        <v>0</v>
      </c>
    </row>
    <row r="94" spans="1:25" s="177" customFormat="1" ht="45">
      <c r="A94" s="163"/>
      <c r="B94" s="179" t="s">
        <v>30</v>
      </c>
      <c r="C94" s="180"/>
      <c r="D94" s="166"/>
      <c r="E94" s="167"/>
      <c r="F94" s="166"/>
      <c r="G94" s="167"/>
      <c r="H94" s="166"/>
      <c r="I94" s="167"/>
      <c r="J94" s="174">
        <f t="shared" si="9"/>
        <v>0</v>
      </c>
      <c r="K94" s="170"/>
      <c r="L94" s="166"/>
      <c r="M94" s="167"/>
      <c r="N94" s="166"/>
      <c r="O94" s="167"/>
      <c r="P94" s="166"/>
      <c r="Q94" s="167"/>
      <c r="R94" s="167"/>
      <c r="S94" s="170"/>
      <c r="T94" s="170"/>
      <c r="U94" s="166"/>
      <c r="V94" s="167"/>
      <c r="W94" s="175">
        <f t="shared" si="10"/>
        <v>0</v>
      </c>
      <c r="X94" s="172">
        <f t="shared" si="11"/>
        <v>0</v>
      </c>
      <c r="Y94" s="172"/>
    </row>
    <row r="95" spans="1:25" s="177" customFormat="1" ht="54">
      <c r="A95" s="163">
        <v>34</v>
      </c>
      <c r="B95" s="164" t="s">
        <v>1317</v>
      </c>
      <c r="C95" s="165">
        <v>10913</v>
      </c>
      <c r="D95" s="313">
        <f>C95</f>
        <v>10913</v>
      </c>
      <c r="E95" s="167"/>
      <c r="F95" s="166"/>
      <c r="G95" s="167"/>
      <c r="H95" s="166"/>
      <c r="I95" s="167"/>
      <c r="J95" s="174">
        <f t="shared" si="9"/>
        <v>10913</v>
      </c>
      <c r="K95" s="170">
        <v>0</v>
      </c>
      <c r="L95" s="166"/>
      <c r="M95" s="167"/>
      <c r="N95" s="166"/>
      <c r="O95" s="167"/>
      <c r="P95" s="166"/>
      <c r="Q95" s="167"/>
      <c r="R95" s="167"/>
      <c r="S95" s="185">
        <f aca="true" t="shared" si="12" ref="S95:S103">ROUND(J95*12/100,0)</f>
        <v>1310</v>
      </c>
      <c r="T95" s="185"/>
      <c r="U95" s="166"/>
      <c r="V95" s="167"/>
      <c r="W95" s="175">
        <f t="shared" si="10"/>
        <v>1310</v>
      </c>
      <c r="X95" s="172">
        <f t="shared" si="11"/>
        <v>9603</v>
      </c>
      <c r="Y95" s="172">
        <f aca="true" t="shared" si="13" ref="Y95:Y103">ROUND(J95*13.61/100,0)</f>
        <v>1485</v>
      </c>
    </row>
    <row r="96" spans="1:25" s="177" customFormat="1" ht="71.25" customHeight="1">
      <c r="A96" s="163">
        <v>35</v>
      </c>
      <c r="B96" s="164" t="s">
        <v>1400</v>
      </c>
      <c r="C96" s="165">
        <v>10913</v>
      </c>
      <c r="D96" s="313">
        <f>C96</f>
        <v>10913</v>
      </c>
      <c r="E96" s="167"/>
      <c r="F96" s="166"/>
      <c r="G96" s="167"/>
      <c r="H96" s="166"/>
      <c r="I96" s="167"/>
      <c r="J96" s="174">
        <f t="shared" si="9"/>
        <v>10913</v>
      </c>
      <c r="K96" s="170">
        <v>0</v>
      </c>
      <c r="L96" s="166"/>
      <c r="M96" s="167"/>
      <c r="N96" s="166"/>
      <c r="O96" s="167"/>
      <c r="P96" s="166"/>
      <c r="Q96" s="167"/>
      <c r="R96" s="167"/>
      <c r="S96" s="185">
        <f t="shared" si="12"/>
        <v>1310</v>
      </c>
      <c r="T96" s="185"/>
      <c r="U96" s="166"/>
      <c r="V96" s="167"/>
      <c r="W96" s="175">
        <f t="shared" si="10"/>
        <v>1310</v>
      </c>
      <c r="X96" s="172">
        <f t="shared" si="11"/>
        <v>9603</v>
      </c>
      <c r="Y96" s="172">
        <f t="shared" si="13"/>
        <v>1485</v>
      </c>
    </row>
    <row r="97" spans="1:25" s="177" customFormat="1" ht="45">
      <c r="A97" s="163"/>
      <c r="B97" s="179" t="s">
        <v>1089</v>
      </c>
      <c r="C97" s="165"/>
      <c r="D97" s="313"/>
      <c r="E97" s="167"/>
      <c r="F97" s="166"/>
      <c r="G97" s="167"/>
      <c r="H97" s="166"/>
      <c r="I97" s="167"/>
      <c r="J97" s="174"/>
      <c r="K97" s="170"/>
      <c r="L97" s="166"/>
      <c r="M97" s="167"/>
      <c r="N97" s="166"/>
      <c r="O97" s="167"/>
      <c r="P97" s="166"/>
      <c r="Q97" s="167"/>
      <c r="R97" s="167"/>
      <c r="S97" s="185"/>
      <c r="T97" s="185"/>
      <c r="U97" s="166"/>
      <c r="V97" s="167"/>
      <c r="W97" s="175"/>
      <c r="X97" s="172"/>
      <c r="Y97" s="172"/>
    </row>
    <row r="98" spans="1:25" s="177" customFormat="1" ht="81">
      <c r="A98" s="163">
        <v>1</v>
      </c>
      <c r="B98" s="164" t="s">
        <v>1374</v>
      </c>
      <c r="C98" s="165">
        <v>8000</v>
      </c>
      <c r="D98" s="313">
        <f aca="true" t="shared" si="14" ref="D98:D103">C98</f>
        <v>8000</v>
      </c>
      <c r="E98" s="167"/>
      <c r="F98" s="166"/>
      <c r="G98" s="167"/>
      <c r="H98" s="166"/>
      <c r="I98" s="167"/>
      <c r="J98" s="174">
        <f t="shared" si="9"/>
        <v>8000</v>
      </c>
      <c r="K98" s="170">
        <v>0</v>
      </c>
      <c r="L98" s="166"/>
      <c r="M98" s="167"/>
      <c r="N98" s="166"/>
      <c r="O98" s="167"/>
      <c r="P98" s="166"/>
      <c r="Q98" s="167"/>
      <c r="R98" s="167"/>
      <c r="S98" s="185">
        <f t="shared" si="12"/>
        <v>960</v>
      </c>
      <c r="T98" s="185"/>
      <c r="U98" s="166"/>
      <c r="V98" s="167"/>
      <c r="W98" s="175">
        <f t="shared" si="10"/>
        <v>960</v>
      </c>
      <c r="X98" s="172">
        <f t="shared" si="11"/>
        <v>7040</v>
      </c>
      <c r="Y98" s="172">
        <f t="shared" si="13"/>
        <v>1089</v>
      </c>
    </row>
    <row r="99" spans="1:25" s="177" customFormat="1" ht="67.5">
      <c r="A99" s="163">
        <v>2</v>
      </c>
      <c r="B99" s="164" t="s">
        <v>1380</v>
      </c>
      <c r="C99" s="165">
        <v>8000</v>
      </c>
      <c r="D99" s="313">
        <f t="shared" si="14"/>
        <v>8000</v>
      </c>
      <c r="E99" s="167"/>
      <c r="F99" s="166"/>
      <c r="G99" s="167"/>
      <c r="H99" s="166"/>
      <c r="I99" s="167"/>
      <c r="J99" s="174">
        <f t="shared" si="9"/>
        <v>8000</v>
      </c>
      <c r="K99" s="170"/>
      <c r="L99" s="166"/>
      <c r="M99" s="167"/>
      <c r="N99" s="166"/>
      <c r="O99" s="167"/>
      <c r="P99" s="166"/>
      <c r="Q99" s="167"/>
      <c r="R99" s="167"/>
      <c r="S99" s="185">
        <f t="shared" si="12"/>
        <v>960</v>
      </c>
      <c r="T99" s="185"/>
      <c r="U99" s="166"/>
      <c r="V99" s="167"/>
      <c r="W99" s="175">
        <f t="shared" si="10"/>
        <v>960</v>
      </c>
      <c r="X99" s="172">
        <f t="shared" si="11"/>
        <v>7040</v>
      </c>
      <c r="Y99" s="172">
        <f t="shared" si="13"/>
        <v>1089</v>
      </c>
    </row>
    <row r="100" spans="1:25" s="177" customFormat="1" ht="67.5">
      <c r="A100" s="163">
        <v>3</v>
      </c>
      <c r="B100" s="164" t="s">
        <v>1401</v>
      </c>
      <c r="C100" s="165">
        <v>8000</v>
      </c>
      <c r="D100" s="313">
        <f t="shared" si="14"/>
        <v>8000</v>
      </c>
      <c r="E100" s="167"/>
      <c r="F100" s="166"/>
      <c r="G100" s="167"/>
      <c r="H100" s="166"/>
      <c r="I100" s="167"/>
      <c r="J100" s="174">
        <f t="shared" si="9"/>
        <v>8000</v>
      </c>
      <c r="K100" s="170"/>
      <c r="L100" s="166"/>
      <c r="M100" s="167"/>
      <c r="N100" s="166"/>
      <c r="O100" s="167"/>
      <c r="P100" s="166"/>
      <c r="Q100" s="167"/>
      <c r="R100" s="167"/>
      <c r="S100" s="185">
        <f t="shared" si="12"/>
        <v>960</v>
      </c>
      <c r="T100" s="185"/>
      <c r="U100" s="166"/>
      <c r="V100" s="167"/>
      <c r="W100" s="175">
        <f t="shared" si="10"/>
        <v>960</v>
      </c>
      <c r="X100" s="172">
        <f t="shared" si="11"/>
        <v>7040</v>
      </c>
      <c r="Y100" s="172">
        <f t="shared" si="13"/>
        <v>1089</v>
      </c>
    </row>
    <row r="101" spans="1:25" s="177" customFormat="1" ht="67.5">
      <c r="A101" s="163">
        <v>4</v>
      </c>
      <c r="B101" s="164" t="s">
        <v>1382</v>
      </c>
      <c r="C101" s="165">
        <v>8000</v>
      </c>
      <c r="D101" s="313">
        <f t="shared" si="14"/>
        <v>8000</v>
      </c>
      <c r="E101" s="167"/>
      <c r="F101" s="166"/>
      <c r="G101" s="167"/>
      <c r="H101" s="166"/>
      <c r="I101" s="167"/>
      <c r="J101" s="174">
        <f t="shared" si="9"/>
        <v>8000</v>
      </c>
      <c r="K101" s="170"/>
      <c r="L101" s="166">
        <v>800</v>
      </c>
      <c r="M101" s="167"/>
      <c r="N101" s="166"/>
      <c r="O101" s="167"/>
      <c r="P101" s="166"/>
      <c r="Q101" s="167"/>
      <c r="R101" s="167"/>
      <c r="S101" s="185">
        <f t="shared" si="12"/>
        <v>960</v>
      </c>
      <c r="T101" s="185"/>
      <c r="U101" s="166"/>
      <c r="V101" s="167"/>
      <c r="W101" s="175">
        <f t="shared" si="10"/>
        <v>1760</v>
      </c>
      <c r="X101" s="172">
        <f t="shared" si="11"/>
        <v>6240</v>
      </c>
      <c r="Y101" s="172">
        <f t="shared" si="13"/>
        <v>1089</v>
      </c>
    </row>
    <row r="102" spans="1:25" s="177" customFormat="1" ht="67.5">
      <c r="A102" s="163">
        <v>5</v>
      </c>
      <c r="B102" s="164" t="s">
        <v>1381</v>
      </c>
      <c r="C102" s="165">
        <v>8000</v>
      </c>
      <c r="D102" s="313">
        <f t="shared" si="14"/>
        <v>8000</v>
      </c>
      <c r="E102" s="167"/>
      <c r="F102" s="166"/>
      <c r="G102" s="167"/>
      <c r="H102" s="166"/>
      <c r="I102" s="167"/>
      <c r="J102" s="174">
        <f t="shared" si="9"/>
        <v>8000</v>
      </c>
      <c r="K102" s="170"/>
      <c r="L102" s="166">
        <v>800</v>
      </c>
      <c r="M102" s="167"/>
      <c r="N102" s="166"/>
      <c r="O102" s="167"/>
      <c r="P102" s="166"/>
      <c r="Q102" s="167"/>
      <c r="R102" s="167"/>
      <c r="S102" s="185">
        <f t="shared" si="12"/>
        <v>960</v>
      </c>
      <c r="T102" s="185"/>
      <c r="U102" s="166"/>
      <c r="V102" s="167"/>
      <c r="W102" s="175">
        <f t="shared" si="10"/>
        <v>1760</v>
      </c>
      <c r="X102" s="172">
        <f t="shared" si="11"/>
        <v>6240</v>
      </c>
      <c r="Y102" s="172">
        <f t="shared" si="13"/>
        <v>1089</v>
      </c>
    </row>
    <row r="103" spans="1:25" s="177" customFormat="1" ht="76.5" customHeight="1">
      <c r="A103" s="163">
        <v>6</v>
      </c>
      <c r="B103" s="164" t="s">
        <v>1230</v>
      </c>
      <c r="C103" s="165">
        <v>8000</v>
      </c>
      <c r="D103" s="313">
        <f t="shared" si="14"/>
        <v>8000</v>
      </c>
      <c r="E103" s="167"/>
      <c r="F103" s="166"/>
      <c r="G103" s="167"/>
      <c r="H103" s="166"/>
      <c r="I103" s="167"/>
      <c r="J103" s="174">
        <f t="shared" si="9"/>
        <v>8000</v>
      </c>
      <c r="K103" s="170"/>
      <c r="L103" s="166"/>
      <c r="M103" s="167"/>
      <c r="N103" s="166"/>
      <c r="O103" s="167"/>
      <c r="P103" s="166"/>
      <c r="Q103" s="167"/>
      <c r="R103" s="167"/>
      <c r="S103" s="185">
        <f t="shared" si="12"/>
        <v>960</v>
      </c>
      <c r="T103" s="185"/>
      <c r="U103" s="166"/>
      <c r="V103" s="167"/>
      <c r="W103" s="175">
        <f t="shared" si="10"/>
        <v>960</v>
      </c>
      <c r="X103" s="172">
        <f t="shared" si="11"/>
        <v>7040</v>
      </c>
      <c r="Y103" s="172">
        <f t="shared" si="13"/>
        <v>1089</v>
      </c>
    </row>
    <row r="104" spans="1:25" s="177" customFormat="1" ht="16.5" customHeight="1">
      <c r="A104" s="163"/>
      <c r="B104" s="187" t="s">
        <v>890</v>
      </c>
      <c r="C104" s="182"/>
      <c r="D104" s="169"/>
      <c r="E104" s="167"/>
      <c r="F104" s="169"/>
      <c r="G104" s="168"/>
      <c r="H104" s="169"/>
      <c r="I104" s="168"/>
      <c r="J104" s="174">
        <f aca="true" t="shared" si="15" ref="J104:J160">SUM(D104:I104)</f>
        <v>0</v>
      </c>
      <c r="K104" s="170"/>
      <c r="L104" s="166"/>
      <c r="M104" s="167"/>
      <c r="N104" s="166"/>
      <c r="O104" s="167"/>
      <c r="P104" s="166"/>
      <c r="Q104" s="167"/>
      <c r="R104" s="167"/>
      <c r="S104" s="170"/>
      <c r="T104" s="170"/>
      <c r="U104" s="166"/>
      <c r="V104" s="167"/>
      <c r="W104" s="175"/>
      <c r="X104" s="172">
        <f t="shared" si="11"/>
        <v>0</v>
      </c>
      <c r="Y104" s="188"/>
    </row>
    <row r="105" spans="1:25" s="177" customFormat="1" ht="19.5" customHeight="1">
      <c r="A105" s="178" t="s">
        <v>219</v>
      </c>
      <c r="B105" s="183" t="s">
        <v>5</v>
      </c>
      <c r="C105" s="180"/>
      <c r="D105" s="169"/>
      <c r="E105" s="167"/>
      <c r="F105" s="169"/>
      <c r="G105" s="168"/>
      <c r="H105" s="169"/>
      <c r="I105" s="168"/>
      <c r="J105" s="174">
        <f t="shared" si="15"/>
        <v>0</v>
      </c>
      <c r="K105" s="170"/>
      <c r="L105" s="166"/>
      <c r="M105" s="167"/>
      <c r="N105" s="166"/>
      <c r="O105" s="167"/>
      <c r="P105" s="166"/>
      <c r="Q105" s="167"/>
      <c r="R105" s="167"/>
      <c r="S105" s="170"/>
      <c r="T105" s="170"/>
      <c r="U105" s="166"/>
      <c r="V105" s="167"/>
      <c r="W105" s="175"/>
      <c r="X105" s="172">
        <f t="shared" si="11"/>
        <v>0</v>
      </c>
      <c r="Y105" s="188"/>
    </row>
    <row r="106" spans="1:25" s="177" customFormat="1" ht="15">
      <c r="A106" s="163">
        <v>1</v>
      </c>
      <c r="B106" s="164" t="s">
        <v>55</v>
      </c>
      <c r="C106" s="165">
        <v>16800</v>
      </c>
      <c r="D106" s="166">
        <v>16800</v>
      </c>
      <c r="E106" s="167">
        <f>ROUND(D106*32.5%,0)</f>
        <v>5460</v>
      </c>
      <c r="F106" s="166">
        <f>ROUND(D106*10%,0)</f>
        <v>1680</v>
      </c>
      <c r="G106" s="167">
        <v>100</v>
      </c>
      <c r="H106" s="166">
        <v>825</v>
      </c>
      <c r="I106" s="167"/>
      <c r="J106" s="174">
        <f t="shared" si="15"/>
        <v>24865</v>
      </c>
      <c r="K106" s="170">
        <v>200</v>
      </c>
      <c r="L106" s="166">
        <f>+F106</f>
        <v>1680</v>
      </c>
      <c r="M106" s="167">
        <v>0</v>
      </c>
      <c r="N106" s="166">
        <v>80</v>
      </c>
      <c r="O106" s="167"/>
      <c r="P106" s="166">
        <v>20</v>
      </c>
      <c r="Q106" s="167"/>
      <c r="R106" s="167"/>
      <c r="S106" s="170"/>
      <c r="T106" s="170"/>
      <c r="U106" s="166"/>
      <c r="V106" s="167">
        <f>1319+899+1325+235</f>
        <v>3778</v>
      </c>
      <c r="W106" s="175">
        <f aca="true" t="shared" si="16" ref="W106:W168">SUM(K106:V106)</f>
        <v>5758</v>
      </c>
      <c r="X106" s="172">
        <f t="shared" si="11"/>
        <v>19107</v>
      </c>
      <c r="Y106" s="172"/>
    </row>
    <row r="107" spans="1:25" s="177" customFormat="1" ht="15">
      <c r="A107" s="163">
        <v>2</v>
      </c>
      <c r="B107" s="164" t="s">
        <v>1165</v>
      </c>
      <c r="C107" s="165">
        <v>16800</v>
      </c>
      <c r="D107" s="166">
        <f>C107</f>
        <v>16800</v>
      </c>
      <c r="E107" s="167">
        <f>ROUND(D107*32.5%,0)</f>
        <v>5460</v>
      </c>
      <c r="F107" s="166">
        <f>ROUND(D107*10%,0)</f>
        <v>1680</v>
      </c>
      <c r="G107" s="167">
        <v>100</v>
      </c>
      <c r="H107" s="166">
        <v>825</v>
      </c>
      <c r="I107" s="167"/>
      <c r="J107" s="174">
        <f t="shared" si="15"/>
        <v>24865</v>
      </c>
      <c r="K107" s="170">
        <v>200</v>
      </c>
      <c r="L107" s="166">
        <f>+F107</f>
        <v>1680</v>
      </c>
      <c r="M107" s="167">
        <v>0</v>
      </c>
      <c r="N107" s="166">
        <v>80</v>
      </c>
      <c r="O107" s="167"/>
      <c r="P107" s="166">
        <v>20</v>
      </c>
      <c r="Q107" s="167">
        <v>0</v>
      </c>
      <c r="R107" s="167"/>
      <c r="S107" s="170"/>
      <c r="T107" s="170"/>
      <c r="U107" s="166"/>
      <c r="V107" s="167">
        <f>2354+1353+909+1340+238</f>
        <v>6194</v>
      </c>
      <c r="W107" s="175">
        <f t="shared" si="16"/>
        <v>8174</v>
      </c>
      <c r="X107" s="172">
        <f t="shared" si="11"/>
        <v>16691</v>
      </c>
      <c r="Y107" s="172"/>
    </row>
    <row r="108" spans="1:25" s="177" customFormat="1" ht="27">
      <c r="A108" s="163">
        <v>3</v>
      </c>
      <c r="B108" s="164" t="s">
        <v>1431</v>
      </c>
      <c r="C108" s="165">
        <v>17200</v>
      </c>
      <c r="D108" s="166">
        <f>C108</f>
        <v>17200</v>
      </c>
      <c r="E108" s="167">
        <f>ROUND(D108*32.5%,0)</f>
        <v>5590</v>
      </c>
      <c r="F108" s="166">
        <f>ROUND(D108*10%,0)</f>
        <v>1720</v>
      </c>
      <c r="G108" s="167">
        <v>100</v>
      </c>
      <c r="H108" s="166">
        <v>825</v>
      </c>
      <c r="I108" s="167"/>
      <c r="J108" s="174">
        <f t="shared" si="15"/>
        <v>25435</v>
      </c>
      <c r="K108" s="170">
        <v>200</v>
      </c>
      <c r="L108" s="166">
        <f>+F108</f>
        <v>1720</v>
      </c>
      <c r="M108" s="167">
        <v>0</v>
      </c>
      <c r="N108" s="166">
        <v>80</v>
      </c>
      <c r="O108" s="167"/>
      <c r="P108" s="166">
        <v>20</v>
      </c>
      <c r="Q108" s="167">
        <v>0</v>
      </c>
      <c r="R108" s="167"/>
      <c r="S108" s="170"/>
      <c r="T108" s="170"/>
      <c r="U108" s="166"/>
      <c r="V108" s="167">
        <f>1765+1340</f>
        <v>3105</v>
      </c>
      <c r="W108" s="175">
        <f t="shared" si="16"/>
        <v>5125</v>
      </c>
      <c r="X108" s="172">
        <f t="shared" si="11"/>
        <v>20310</v>
      </c>
      <c r="Y108" s="172"/>
    </row>
    <row r="109" spans="1:25" s="177" customFormat="1" ht="30">
      <c r="A109" s="178"/>
      <c r="B109" s="183" t="s">
        <v>31</v>
      </c>
      <c r="C109" s="180"/>
      <c r="D109" s="169"/>
      <c r="E109" s="168"/>
      <c r="F109" s="169"/>
      <c r="G109" s="168"/>
      <c r="H109" s="169"/>
      <c r="I109" s="168"/>
      <c r="J109" s="174">
        <f t="shared" si="15"/>
        <v>0</v>
      </c>
      <c r="K109" s="170"/>
      <c r="L109" s="166"/>
      <c r="M109" s="167"/>
      <c r="N109" s="166"/>
      <c r="O109" s="167"/>
      <c r="P109" s="166"/>
      <c r="Q109" s="167"/>
      <c r="R109" s="167"/>
      <c r="S109" s="170"/>
      <c r="T109" s="170"/>
      <c r="U109" s="166"/>
      <c r="V109" s="167"/>
      <c r="W109" s="175">
        <f t="shared" si="16"/>
        <v>0</v>
      </c>
      <c r="X109" s="172">
        <f t="shared" si="11"/>
        <v>0</v>
      </c>
      <c r="Y109" s="173"/>
    </row>
    <row r="110" spans="1:25" s="177" customFormat="1" ht="15">
      <c r="A110" s="163">
        <v>4</v>
      </c>
      <c r="B110" s="164" t="s">
        <v>261</v>
      </c>
      <c r="C110" s="165">
        <v>10913</v>
      </c>
      <c r="D110" s="166">
        <f>ROUND(14550*75%,0)</f>
        <v>10913</v>
      </c>
      <c r="E110" s="167"/>
      <c r="F110" s="166"/>
      <c r="G110" s="167"/>
      <c r="H110" s="166"/>
      <c r="I110" s="167"/>
      <c r="J110" s="174">
        <f t="shared" si="15"/>
        <v>10913</v>
      </c>
      <c r="K110" s="170">
        <v>0</v>
      </c>
      <c r="L110" s="166"/>
      <c r="M110" s="167"/>
      <c r="N110" s="166"/>
      <c r="O110" s="167"/>
      <c r="P110" s="166"/>
      <c r="Q110" s="167"/>
      <c r="R110" s="167"/>
      <c r="S110" s="185">
        <f>ROUND(J110*12/100,0)</f>
        <v>1310</v>
      </c>
      <c r="T110" s="185"/>
      <c r="U110" s="166"/>
      <c r="V110" s="167"/>
      <c r="W110" s="175">
        <f t="shared" si="16"/>
        <v>1310</v>
      </c>
      <c r="X110" s="172">
        <f t="shared" si="11"/>
        <v>9603</v>
      </c>
      <c r="Y110" s="172">
        <f>ROUND(J110*13.61/100,0)</f>
        <v>1485</v>
      </c>
    </row>
    <row r="111" spans="1:25" s="177" customFormat="1" ht="18" customHeight="1">
      <c r="A111" s="163">
        <v>5</v>
      </c>
      <c r="B111" s="164" t="s">
        <v>144</v>
      </c>
      <c r="C111" s="165">
        <v>10913</v>
      </c>
      <c r="D111" s="166">
        <v>10913</v>
      </c>
      <c r="E111" s="167"/>
      <c r="F111" s="166"/>
      <c r="G111" s="167"/>
      <c r="H111" s="166"/>
      <c r="I111" s="167"/>
      <c r="J111" s="174">
        <f t="shared" si="15"/>
        <v>10913</v>
      </c>
      <c r="K111" s="170">
        <v>0</v>
      </c>
      <c r="L111" s="420">
        <f>ROUND(J111*10%,0)</f>
        <v>1091</v>
      </c>
      <c r="M111" s="167"/>
      <c r="N111" s="166"/>
      <c r="O111" s="167"/>
      <c r="P111" s="166"/>
      <c r="Q111" s="167"/>
      <c r="R111" s="167"/>
      <c r="S111" s="185">
        <f>ROUND(J111*12/100,0)</f>
        <v>1310</v>
      </c>
      <c r="T111" s="185"/>
      <c r="U111" s="166"/>
      <c r="V111" s="167"/>
      <c r="W111" s="175">
        <f t="shared" si="16"/>
        <v>2401</v>
      </c>
      <c r="X111" s="172">
        <f t="shared" si="11"/>
        <v>8512</v>
      </c>
      <c r="Y111" s="172">
        <f>ROUND(J111*13.61/100,0)</f>
        <v>1485</v>
      </c>
    </row>
    <row r="112" spans="1:25" s="177" customFormat="1" ht="17.25" customHeight="1">
      <c r="A112" s="163">
        <v>6</v>
      </c>
      <c r="B112" s="164" t="s">
        <v>6</v>
      </c>
      <c r="C112" s="165"/>
      <c r="D112" s="166"/>
      <c r="E112" s="167"/>
      <c r="F112" s="166"/>
      <c r="G112" s="167"/>
      <c r="H112" s="166"/>
      <c r="I112" s="167"/>
      <c r="J112" s="174">
        <f t="shared" si="15"/>
        <v>0</v>
      </c>
      <c r="K112" s="170"/>
      <c r="L112" s="166"/>
      <c r="M112" s="167"/>
      <c r="N112" s="166"/>
      <c r="O112" s="167"/>
      <c r="P112" s="166"/>
      <c r="Q112" s="167"/>
      <c r="R112" s="167"/>
      <c r="S112" s="170"/>
      <c r="T112" s="170"/>
      <c r="U112" s="166"/>
      <c r="V112" s="167"/>
      <c r="W112" s="175">
        <f t="shared" si="16"/>
        <v>0</v>
      </c>
      <c r="X112" s="172">
        <f t="shared" si="11"/>
        <v>0</v>
      </c>
      <c r="Y112" s="172"/>
    </row>
    <row r="113" spans="1:25" s="177" customFormat="1" ht="36" customHeight="1">
      <c r="A113" s="163"/>
      <c r="B113" s="179" t="s">
        <v>1055</v>
      </c>
      <c r="C113" s="165"/>
      <c r="D113" s="166"/>
      <c r="E113" s="167"/>
      <c r="F113" s="166"/>
      <c r="G113" s="167"/>
      <c r="H113" s="166"/>
      <c r="I113" s="167"/>
      <c r="J113" s="174"/>
      <c r="K113" s="170"/>
      <c r="L113" s="166"/>
      <c r="M113" s="167"/>
      <c r="N113" s="166"/>
      <c r="O113" s="167"/>
      <c r="P113" s="166"/>
      <c r="Q113" s="167"/>
      <c r="R113" s="167"/>
      <c r="S113" s="170"/>
      <c r="T113" s="170"/>
      <c r="U113" s="166"/>
      <c r="V113" s="167"/>
      <c r="W113" s="175"/>
      <c r="X113" s="172"/>
      <c r="Y113" s="172"/>
    </row>
    <row r="114" spans="1:25" s="177" customFormat="1" ht="83.25" customHeight="1">
      <c r="A114" s="163">
        <v>1</v>
      </c>
      <c r="B114" s="164" t="s">
        <v>1241</v>
      </c>
      <c r="C114" s="165">
        <v>8000</v>
      </c>
      <c r="D114" s="166">
        <f>C114</f>
        <v>8000</v>
      </c>
      <c r="E114" s="167"/>
      <c r="F114" s="166"/>
      <c r="G114" s="167"/>
      <c r="H114" s="166"/>
      <c r="I114" s="167"/>
      <c r="J114" s="174">
        <f t="shared" si="15"/>
        <v>8000</v>
      </c>
      <c r="K114" s="170"/>
      <c r="L114" s="166"/>
      <c r="M114" s="167"/>
      <c r="N114" s="166"/>
      <c r="O114" s="167"/>
      <c r="P114" s="166"/>
      <c r="Q114" s="167"/>
      <c r="R114" s="167"/>
      <c r="S114" s="185">
        <f>ROUND(J114*12/100,0)</f>
        <v>960</v>
      </c>
      <c r="T114" s="185"/>
      <c r="U114" s="166"/>
      <c r="V114" s="167"/>
      <c r="W114" s="175">
        <f t="shared" si="16"/>
        <v>960</v>
      </c>
      <c r="X114" s="172">
        <f>J114-W114</f>
        <v>7040</v>
      </c>
      <c r="Y114" s="172">
        <f>ROUND(J114*13.61/100,0)</f>
        <v>1089</v>
      </c>
    </row>
    <row r="115" spans="1:25" s="177" customFormat="1" ht="79.5" customHeight="1">
      <c r="A115" s="163">
        <v>2</v>
      </c>
      <c r="B115" s="164" t="s">
        <v>1242</v>
      </c>
      <c r="C115" s="165">
        <v>8000</v>
      </c>
      <c r="D115" s="166">
        <f>C115</f>
        <v>8000</v>
      </c>
      <c r="E115" s="167"/>
      <c r="F115" s="166"/>
      <c r="G115" s="167"/>
      <c r="H115" s="166"/>
      <c r="I115" s="167"/>
      <c r="J115" s="174">
        <f t="shared" si="15"/>
        <v>8000</v>
      </c>
      <c r="K115" s="170"/>
      <c r="L115" s="166"/>
      <c r="M115" s="167"/>
      <c r="N115" s="166"/>
      <c r="O115" s="167"/>
      <c r="P115" s="166"/>
      <c r="Q115" s="167"/>
      <c r="R115" s="167"/>
      <c r="S115" s="185">
        <f>ROUND(J115*12/100,0)</f>
        <v>960</v>
      </c>
      <c r="T115" s="170"/>
      <c r="U115" s="166"/>
      <c r="V115" s="167"/>
      <c r="W115" s="175">
        <f t="shared" si="16"/>
        <v>960</v>
      </c>
      <c r="X115" s="172">
        <f aca="true" t="shared" si="17" ref="X115:X175">J115-W115</f>
        <v>7040</v>
      </c>
      <c r="Y115" s="172">
        <f>ROUND(J115*13.61/100,0)</f>
        <v>1089</v>
      </c>
    </row>
    <row r="116" spans="1:25" s="177" customFormat="1" ht="74.25" customHeight="1">
      <c r="A116" s="163">
        <v>3</v>
      </c>
      <c r="B116" s="164" t="s">
        <v>1243</v>
      </c>
      <c r="C116" s="165">
        <v>8000</v>
      </c>
      <c r="D116" s="166">
        <f>C116</f>
        <v>8000</v>
      </c>
      <c r="E116" s="167"/>
      <c r="F116" s="166"/>
      <c r="G116" s="167"/>
      <c r="H116" s="166"/>
      <c r="I116" s="167"/>
      <c r="J116" s="174">
        <f t="shared" si="15"/>
        <v>8000</v>
      </c>
      <c r="K116" s="170"/>
      <c r="L116" s="166"/>
      <c r="M116" s="167"/>
      <c r="N116" s="166"/>
      <c r="O116" s="167"/>
      <c r="P116" s="166"/>
      <c r="Q116" s="167"/>
      <c r="R116" s="167"/>
      <c r="S116" s="185">
        <f>ROUND(J116*12/100,0)</f>
        <v>960</v>
      </c>
      <c r="T116" s="170"/>
      <c r="U116" s="166"/>
      <c r="V116" s="167"/>
      <c r="W116" s="175">
        <f t="shared" si="16"/>
        <v>960</v>
      </c>
      <c r="X116" s="172">
        <f t="shared" si="17"/>
        <v>7040</v>
      </c>
      <c r="Y116" s="172">
        <f>ROUND(J116*13.61/100,0)</f>
        <v>1089</v>
      </c>
    </row>
    <row r="117" spans="1:25" s="177" customFormat="1" ht="17.25" customHeight="1">
      <c r="A117" s="178" t="s">
        <v>247</v>
      </c>
      <c r="B117" s="179" t="s">
        <v>7</v>
      </c>
      <c r="C117" s="180"/>
      <c r="D117" s="166"/>
      <c r="E117" s="167"/>
      <c r="F117" s="166"/>
      <c r="G117" s="167"/>
      <c r="H117" s="166"/>
      <c r="I117" s="167"/>
      <c r="J117" s="174"/>
      <c r="K117" s="170"/>
      <c r="L117" s="166"/>
      <c r="M117" s="167"/>
      <c r="N117" s="166"/>
      <c r="O117" s="167"/>
      <c r="P117" s="166"/>
      <c r="Q117" s="167"/>
      <c r="R117" s="167"/>
      <c r="S117" s="170"/>
      <c r="T117" s="170"/>
      <c r="U117" s="166"/>
      <c r="V117" s="167"/>
      <c r="W117" s="175"/>
      <c r="X117" s="172">
        <f t="shared" si="17"/>
        <v>0</v>
      </c>
      <c r="Y117" s="172"/>
    </row>
    <row r="118" spans="1:25" s="177" customFormat="1" ht="27">
      <c r="A118" s="163">
        <v>1</v>
      </c>
      <c r="B118" s="164" t="s">
        <v>56</v>
      </c>
      <c r="C118" s="165">
        <v>16800</v>
      </c>
      <c r="D118" s="166">
        <v>16800</v>
      </c>
      <c r="E118" s="167">
        <f>ROUND(D118*32.5%,0)</f>
        <v>5460</v>
      </c>
      <c r="F118" s="166">
        <f>ROUND(D118*10%,0)</f>
        <v>1680</v>
      </c>
      <c r="G118" s="167">
        <v>100</v>
      </c>
      <c r="H118" s="166">
        <v>0</v>
      </c>
      <c r="I118" s="167"/>
      <c r="J118" s="174">
        <f t="shared" si="15"/>
        <v>24040</v>
      </c>
      <c r="K118" s="170">
        <v>200</v>
      </c>
      <c r="L118" s="166"/>
      <c r="M118" s="167">
        <v>0</v>
      </c>
      <c r="N118" s="166"/>
      <c r="O118" s="167"/>
      <c r="P118" s="166"/>
      <c r="Q118" s="167"/>
      <c r="R118" s="167"/>
      <c r="S118" s="170"/>
      <c r="T118" s="170"/>
      <c r="U118" s="166"/>
      <c r="V118" s="167">
        <v>2075</v>
      </c>
      <c r="W118" s="175">
        <f t="shared" si="16"/>
        <v>2275</v>
      </c>
      <c r="X118" s="172">
        <f t="shared" si="17"/>
        <v>21765</v>
      </c>
      <c r="Y118" s="172"/>
    </row>
    <row r="119" spans="1:25" ht="15">
      <c r="A119" s="178" t="s">
        <v>248</v>
      </c>
      <c r="B119" s="183" t="s">
        <v>10</v>
      </c>
      <c r="C119" s="180"/>
      <c r="D119" s="169"/>
      <c r="E119" s="168"/>
      <c r="F119" s="169"/>
      <c r="G119" s="168"/>
      <c r="H119" s="169"/>
      <c r="I119" s="168"/>
      <c r="J119" s="174">
        <f t="shared" si="15"/>
        <v>0</v>
      </c>
      <c r="K119" s="170"/>
      <c r="L119" s="166"/>
      <c r="M119" s="167"/>
      <c r="N119" s="166"/>
      <c r="O119" s="167"/>
      <c r="P119" s="166"/>
      <c r="Q119" s="167"/>
      <c r="R119" s="167"/>
      <c r="S119" s="170"/>
      <c r="T119" s="170"/>
      <c r="U119" s="166"/>
      <c r="V119" s="167"/>
      <c r="W119" s="175">
        <f t="shared" si="16"/>
        <v>0</v>
      </c>
      <c r="X119" s="172">
        <f t="shared" si="17"/>
        <v>0</v>
      </c>
      <c r="Y119" s="173"/>
    </row>
    <row r="120" spans="1:25" s="177" customFormat="1" ht="24.75" customHeight="1">
      <c r="A120" s="163">
        <v>1</v>
      </c>
      <c r="B120" s="164" t="s">
        <v>57</v>
      </c>
      <c r="C120" s="165">
        <v>20500</v>
      </c>
      <c r="D120" s="166">
        <f aca="true" t="shared" si="18" ref="D120:D127">C120</f>
        <v>20500</v>
      </c>
      <c r="E120" s="167">
        <f>ROUND(D120*32.5%,0)</f>
        <v>6663</v>
      </c>
      <c r="F120" s="166">
        <f>ROUND(D120*10%,0)</f>
        <v>2050</v>
      </c>
      <c r="G120" s="167">
        <v>100</v>
      </c>
      <c r="H120" s="166">
        <v>400</v>
      </c>
      <c r="I120" s="167"/>
      <c r="J120" s="174">
        <f t="shared" si="15"/>
        <v>29713</v>
      </c>
      <c r="K120" s="170">
        <v>200</v>
      </c>
      <c r="L120" s="166">
        <f aca="true" t="shared" si="19" ref="L120:L126">+F120</f>
        <v>2050</v>
      </c>
      <c r="M120" s="167">
        <v>0</v>
      </c>
      <c r="N120" s="166">
        <v>80</v>
      </c>
      <c r="O120" s="167"/>
      <c r="P120" s="166">
        <v>20</v>
      </c>
      <c r="Q120" s="167"/>
      <c r="R120" s="167"/>
      <c r="S120" s="170"/>
      <c r="T120" s="170"/>
      <c r="U120" s="166"/>
      <c r="V120" s="167">
        <f>641+1763</f>
        <v>2404</v>
      </c>
      <c r="W120" s="175">
        <f t="shared" si="16"/>
        <v>4754</v>
      </c>
      <c r="X120" s="172">
        <f t="shared" si="17"/>
        <v>24959</v>
      </c>
      <c r="Y120" s="172"/>
    </row>
    <row r="121" spans="1:25" s="177" customFormat="1" ht="24.75" customHeight="1">
      <c r="A121" s="163">
        <v>2</v>
      </c>
      <c r="B121" s="164" t="s">
        <v>1155</v>
      </c>
      <c r="C121" s="165">
        <v>20500</v>
      </c>
      <c r="D121" s="166">
        <f t="shared" si="18"/>
        <v>20500</v>
      </c>
      <c r="E121" s="167">
        <f aca="true" t="shared" si="20" ref="E121:E173">ROUND(D121*32.5%,0)</f>
        <v>6663</v>
      </c>
      <c r="F121" s="166">
        <f aca="true" t="shared" si="21" ref="F121:F168">ROUND(D121*10%,0)</f>
        <v>2050</v>
      </c>
      <c r="G121" s="167">
        <v>100</v>
      </c>
      <c r="H121" s="166">
        <v>400</v>
      </c>
      <c r="I121" s="167"/>
      <c r="J121" s="174">
        <f t="shared" si="15"/>
        <v>29713</v>
      </c>
      <c r="K121" s="170">
        <v>200</v>
      </c>
      <c r="L121" s="166">
        <v>2050</v>
      </c>
      <c r="M121" s="167">
        <v>0</v>
      </c>
      <c r="N121" s="166">
        <v>80</v>
      </c>
      <c r="O121" s="167"/>
      <c r="P121" s="166">
        <v>20</v>
      </c>
      <c r="Q121" s="167"/>
      <c r="R121" s="167"/>
      <c r="S121" s="170"/>
      <c r="T121" s="170"/>
      <c r="U121" s="166"/>
      <c r="V121" s="167">
        <f>766+2710+404</f>
        <v>3880</v>
      </c>
      <c r="W121" s="175">
        <f t="shared" si="16"/>
        <v>6230</v>
      </c>
      <c r="X121" s="172">
        <f t="shared" si="17"/>
        <v>23483</v>
      </c>
      <c r="Y121" s="172"/>
    </row>
    <row r="122" spans="1:25" s="177" customFormat="1" ht="24.75" customHeight="1">
      <c r="A122" s="163">
        <v>3</v>
      </c>
      <c r="B122" s="164" t="s">
        <v>58</v>
      </c>
      <c r="C122" s="165">
        <v>20500</v>
      </c>
      <c r="D122" s="166">
        <f t="shared" si="18"/>
        <v>20500</v>
      </c>
      <c r="E122" s="167">
        <f t="shared" si="20"/>
        <v>6663</v>
      </c>
      <c r="F122" s="166">
        <f t="shared" si="21"/>
        <v>2050</v>
      </c>
      <c r="G122" s="167">
        <v>100</v>
      </c>
      <c r="H122" s="166">
        <v>400</v>
      </c>
      <c r="I122" s="167"/>
      <c r="J122" s="174">
        <f t="shared" si="15"/>
        <v>29713</v>
      </c>
      <c r="K122" s="170">
        <v>200</v>
      </c>
      <c r="L122" s="166">
        <f t="shared" si="19"/>
        <v>2050</v>
      </c>
      <c r="M122" s="167">
        <v>0</v>
      </c>
      <c r="N122" s="166">
        <v>80</v>
      </c>
      <c r="O122" s="167"/>
      <c r="P122" s="166">
        <v>20</v>
      </c>
      <c r="Q122" s="167"/>
      <c r="R122" s="167"/>
      <c r="S122" s="170"/>
      <c r="T122" s="170"/>
      <c r="U122" s="166"/>
      <c r="V122" s="167">
        <f>2001+2433</f>
        <v>4434</v>
      </c>
      <c r="W122" s="175">
        <f t="shared" si="16"/>
        <v>6784</v>
      </c>
      <c r="X122" s="172">
        <f t="shared" si="17"/>
        <v>22929</v>
      </c>
      <c r="Y122" s="172"/>
    </row>
    <row r="123" spans="1:25" s="177" customFormat="1" ht="24.75" customHeight="1">
      <c r="A123" s="163">
        <v>4</v>
      </c>
      <c r="B123" s="164" t="s">
        <v>1071</v>
      </c>
      <c r="C123" s="165">
        <v>20500</v>
      </c>
      <c r="D123" s="166">
        <f t="shared" si="18"/>
        <v>20500</v>
      </c>
      <c r="E123" s="167">
        <f t="shared" si="20"/>
        <v>6663</v>
      </c>
      <c r="F123" s="166">
        <f>ROUND(D123*10%,0)</f>
        <v>2050</v>
      </c>
      <c r="G123" s="167">
        <v>100</v>
      </c>
      <c r="H123" s="166">
        <v>400</v>
      </c>
      <c r="I123" s="167"/>
      <c r="J123" s="174">
        <f t="shared" si="15"/>
        <v>29713</v>
      </c>
      <c r="K123" s="170">
        <v>200</v>
      </c>
      <c r="L123" s="166">
        <f t="shared" si="19"/>
        <v>2050</v>
      </c>
      <c r="M123" s="167">
        <v>0</v>
      </c>
      <c r="N123" s="166">
        <v>80</v>
      </c>
      <c r="O123" s="167"/>
      <c r="P123" s="166">
        <v>20</v>
      </c>
      <c r="Q123" s="167"/>
      <c r="R123" s="167"/>
      <c r="S123" s="170"/>
      <c r="T123" s="170"/>
      <c r="U123" s="166"/>
      <c r="V123" s="167">
        <f>1081+382+320+1125+4993</f>
        <v>7901</v>
      </c>
      <c r="W123" s="175">
        <f t="shared" si="16"/>
        <v>10251</v>
      </c>
      <c r="X123" s="172">
        <f t="shared" si="17"/>
        <v>19462</v>
      </c>
      <c r="Y123" s="172"/>
    </row>
    <row r="124" spans="1:25" s="177" customFormat="1" ht="40.5">
      <c r="A124" s="163">
        <v>5</v>
      </c>
      <c r="B124" s="164" t="s">
        <v>1482</v>
      </c>
      <c r="C124" s="165">
        <v>20500</v>
      </c>
      <c r="D124" s="166">
        <f t="shared" si="18"/>
        <v>20500</v>
      </c>
      <c r="E124" s="167">
        <f t="shared" si="20"/>
        <v>6663</v>
      </c>
      <c r="F124" s="166">
        <f t="shared" si="21"/>
        <v>2050</v>
      </c>
      <c r="G124" s="167">
        <v>100</v>
      </c>
      <c r="H124" s="166">
        <v>400</v>
      </c>
      <c r="I124" s="167"/>
      <c r="J124" s="174">
        <f t="shared" si="15"/>
        <v>29713</v>
      </c>
      <c r="K124" s="170">
        <v>200</v>
      </c>
      <c r="L124" s="166">
        <f t="shared" si="19"/>
        <v>2050</v>
      </c>
      <c r="M124" s="167">
        <v>0</v>
      </c>
      <c r="N124" s="166">
        <v>80</v>
      </c>
      <c r="O124" s="167"/>
      <c r="P124" s="166">
        <v>20</v>
      </c>
      <c r="Q124" s="167"/>
      <c r="R124" s="167"/>
      <c r="S124" s="170"/>
      <c r="T124" s="170"/>
      <c r="U124" s="166"/>
      <c r="V124" s="167">
        <f>784+468</f>
        <v>1252</v>
      </c>
      <c r="W124" s="175">
        <f t="shared" si="16"/>
        <v>3602</v>
      </c>
      <c r="X124" s="172">
        <f t="shared" si="17"/>
        <v>26111</v>
      </c>
      <c r="Y124" s="172"/>
    </row>
    <row r="125" spans="1:25" s="177" customFormat="1" ht="24.75" customHeight="1">
      <c r="A125" s="163">
        <v>6</v>
      </c>
      <c r="B125" s="164" t="s">
        <v>563</v>
      </c>
      <c r="C125" s="165">
        <v>20500</v>
      </c>
      <c r="D125" s="166">
        <f t="shared" si="18"/>
        <v>20500</v>
      </c>
      <c r="E125" s="167">
        <f t="shared" si="20"/>
        <v>6663</v>
      </c>
      <c r="F125" s="166">
        <f>ROUND(D125*10%,0)</f>
        <v>2050</v>
      </c>
      <c r="G125" s="167">
        <v>100</v>
      </c>
      <c r="H125" s="166">
        <v>400</v>
      </c>
      <c r="I125" s="167"/>
      <c r="J125" s="174">
        <f t="shared" si="15"/>
        <v>29713</v>
      </c>
      <c r="K125" s="170">
        <v>200</v>
      </c>
      <c r="L125" s="166">
        <f t="shared" si="19"/>
        <v>2050</v>
      </c>
      <c r="M125" s="167">
        <v>0</v>
      </c>
      <c r="N125" s="166">
        <v>80</v>
      </c>
      <c r="O125" s="167"/>
      <c r="P125" s="166">
        <v>20</v>
      </c>
      <c r="Q125" s="167"/>
      <c r="R125" s="167"/>
      <c r="S125" s="170"/>
      <c r="T125" s="170"/>
      <c r="U125" s="166"/>
      <c r="V125" s="167">
        <v>0</v>
      </c>
      <c r="W125" s="175">
        <f t="shared" si="16"/>
        <v>2350</v>
      </c>
      <c r="X125" s="172">
        <f t="shared" si="17"/>
        <v>27363</v>
      </c>
      <c r="Y125" s="172"/>
    </row>
    <row r="126" spans="1:25" s="177" customFormat="1" ht="24.75" customHeight="1">
      <c r="A126" s="163">
        <v>7</v>
      </c>
      <c r="B126" s="164" t="s">
        <v>591</v>
      </c>
      <c r="C126" s="165">
        <v>20500</v>
      </c>
      <c r="D126" s="166">
        <f t="shared" si="18"/>
        <v>20500</v>
      </c>
      <c r="E126" s="167">
        <f t="shared" si="20"/>
        <v>6663</v>
      </c>
      <c r="F126" s="166">
        <f>ROUND(D126*10%,0)</f>
        <v>2050</v>
      </c>
      <c r="G126" s="167">
        <v>100</v>
      </c>
      <c r="H126" s="166">
        <v>400</v>
      </c>
      <c r="I126" s="167"/>
      <c r="J126" s="174">
        <f t="shared" si="15"/>
        <v>29713</v>
      </c>
      <c r="K126" s="170">
        <v>200</v>
      </c>
      <c r="L126" s="166">
        <f t="shared" si="19"/>
        <v>2050</v>
      </c>
      <c r="M126" s="167">
        <v>0</v>
      </c>
      <c r="N126" s="166"/>
      <c r="O126" s="167"/>
      <c r="P126" s="166"/>
      <c r="Q126" s="167"/>
      <c r="R126" s="167"/>
      <c r="S126" s="170"/>
      <c r="T126" s="170"/>
      <c r="U126" s="166"/>
      <c r="V126" s="167">
        <f>1326+745+901+1070+1092+2171</f>
        <v>7305</v>
      </c>
      <c r="W126" s="175">
        <f t="shared" si="16"/>
        <v>9555</v>
      </c>
      <c r="X126" s="172">
        <f t="shared" si="17"/>
        <v>20158</v>
      </c>
      <c r="Y126" s="172"/>
    </row>
    <row r="127" spans="1:25" s="177" customFormat="1" ht="24.75" customHeight="1">
      <c r="A127" s="163">
        <v>8</v>
      </c>
      <c r="B127" s="164" t="s">
        <v>59</v>
      </c>
      <c r="C127" s="165">
        <v>20500</v>
      </c>
      <c r="D127" s="166">
        <f t="shared" si="18"/>
        <v>20500</v>
      </c>
      <c r="E127" s="167">
        <f t="shared" si="20"/>
        <v>6663</v>
      </c>
      <c r="F127" s="166">
        <f t="shared" si="21"/>
        <v>2050</v>
      </c>
      <c r="G127" s="167">
        <v>100</v>
      </c>
      <c r="H127" s="166">
        <v>400</v>
      </c>
      <c r="I127" s="167"/>
      <c r="J127" s="174">
        <f t="shared" si="15"/>
        <v>29713</v>
      </c>
      <c r="K127" s="170">
        <v>200</v>
      </c>
      <c r="L127" s="166"/>
      <c r="M127" s="167">
        <v>0</v>
      </c>
      <c r="N127" s="166"/>
      <c r="O127" s="167"/>
      <c r="P127" s="166"/>
      <c r="Q127" s="167"/>
      <c r="R127" s="167"/>
      <c r="S127" s="170"/>
      <c r="T127" s="170"/>
      <c r="U127" s="166"/>
      <c r="V127" s="167">
        <v>1847</v>
      </c>
      <c r="W127" s="175">
        <f t="shared" si="16"/>
        <v>2047</v>
      </c>
      <c r="X127" s="172">
        <f t="shared" si="17"/>
        <v>27666</v>
      </c>
      <c r="Y127" s="172"/>
    </row>
    <row r="128" spans="1:25" s="177" customFormat="1" ht="24.75" customHeight="1">
      <c r="A128" s="163">
        <v>9</v>
      </c>
      <c r="B128" s="164" t="s">
        <v>361</v>
      </c>
      <c r="C128" s="165">
        <v>20500</v>
      </c>
      <c r="D128" s="166">
        <f aca="true" t="shared" si="22" ref="D128:D144">C128</f>
        <v>20500</v>
      </c>
      <c r="E128" s="167">
        <f t="shared" si="20"/>
        <v>6663</v>
      </c>
      <c r="F128" s="166">
        <f t="shared" si="21"/>
        <v>2050</v>
      </c>
      <c r="G128" s="167">
        <v>100</v>
      </c>
      <c r="H128" s="166">
        <v>400</v>
      </c>
      <c r="I128" s="167"/>
      <c r="J128" s="174">
        <f t="shared" si="15"/>
        <v>29713</v>
      </c>
      <c r="K128" s="170">
        <v>200</v>
      </c>
      <c r="L128" s="166">
        <f aca="true" t="shared" si="23" ref="L128:L136">+F128</f>
        <v>2050</v>
      </c>
      <c r="M128" s="167">
        <v>0</v>
      </c>
      <c r="N128" s="166">
        <v>80</v>
      </c>
      <c r="O128" s="167"/>
      <c r="P128" s="166">
        <v>20</v>
      </c>
      <c r="Q128" s="167"/>
      <c r="R128" s="167"/>
      <c r="S128" s="170"/>
      <c r="T128" s="170"/>
      <c r="U128" s="166"/>
      <c r="V128" s="167">
        <v>3292</v>
      </c>
      <c r="W128" s="175">
        <f t="shared" si="16"/>
        <v>5642</v>
      </c>
      <c r="X128" s="172">
        <f t="shared" si="17"/>
        <v>24071</v>
      </c>
      <c r="Y128" s="172"/>
    </row>
    <row r="129" spans="1:25" s="177" customFormat="1" ht="24.75" customHeight="1">
      <c r="A129" s="163">
        <v>10</v>
      </c>
      <c r="B129" s="164" t="s">
        <v>318</v>
      </c>
      <c r="C129" s="165">
        <v>20500</v>
      </c>
      <c r="D129" s="166">
        <f t="shared" si="22"/>
        <v>20500</v>
      </c>
      <c r="E129" s="167">
        <f t="shared" si="20"/>
        <v>6663</v>
      </c>
      <c r="F129" s="166">
        <f t="shared" si="21"/>
        <v>2050</v>
      </c>
      <c r="G129" s="167">
        <v>100</v>
      </c>
      <c r="H129" s="166">
        <v>400</v>
      </c>
      <c r="I129" s="167"/>
      <c r="J129" s="174">
        <f t="shared" si="15"/>
        <v>29713</v>
      </c>
      <c r="K129" s="170">
        <v>200</v>
      </c>
      <c r="L129" s="166">
        <f t="shared" si="23"/>
        <v>2050</v>
      </c>
      <c r="M129" s="167">
        <v>0</v>
      </c>
      <c r="N129" s="166">
        <v>80</v>
      </c>
      <c r="O129" s="167"/>
      <c r="P129" s="166">
        <v>20</v>
      </c>
      <c r="Q129" s="167"/>
      <c r="R129" s="167"/>
      <c r="S129" s="170"/>
      <c r="T129" s="170"/>
      <c r="U129" s="166"/>
      <c r="V129" s="167">
        <f>603+444</f>
        <v>1047</v>
      </c>
      <c r="W129" s="175">
        <f t="shared" si="16"/>
        <v>3397</v>
      </c>
      <c r="X129" s="172">
        <f t="shared" si="17"/>
        <v>26316</v>
      </c>
      <c r="Y129" s="172"/>
    </row>
    <row r="130" spans="1:25" s="177" customFormat="1" ht="24.75" customHeight="1">
      <c r="A130" s="163">
        <v>11</v>
      </c>
      <c r="B130" s="164" t="s">
        <v>60</v>
      </c>
      <c r="C130" s="165">
        <v>20500</v>
      </c>
      <c r="D130" s="166">
        <f t="shared" si="22"/>
        <v>20500</v>
      </c>
      <c r="E130" s="167">
        <f t="shared" si="20"/>
        <v>6663</v>
      </c>
      <c r="F130" s="166">
        <f t="shared" si="21"/>
        <v>2050</v>
      </c>
      <c r="G130" s="167">
        <v>100</v>
      </c>
      <c r="H130" s="166">
        <v>400</v>
      </c>
      <c r="I130" s="167"/>
      <c r="J130" s="174">
        <f t="shared" si="15"/>
        <v>29713</v>
      </c>
      <c r="K130" s="170">
        <v>200</v>
      </c>
      <c r="L130" s="166"/>
      <c r="M130" s="167">
        <v>0</v>
      </c>
      <c r="N130" s="166"/>
      <c r="O130" s="167"/>
      <c r="P130" s="166"/>
      <c r="Q130" s="167"/>
      <c r="R130" s="167"/>
      <c r="S130" s="170"/>
      <c r="T130" s="170"/>
      <c r="U130" s="166"/>
      <c r="V130" s="167">
        <f>546+1078+235</f>
        <v>1859</v>
      </c>
      <c r="W130" s="175">
        <f t="shared" si="16"/>
        <v>2059</v>
      </c>
      <c r="X130" s="172">
        <f t="shared" si="17"/>
        <v>27654</v>
      </c>
      <c r="Y130" s="172"/>
    </row>
    <row r="131" spans="1:25" s="177" customFormat="1" ht="24.75" customHeight="1">
      <c r="A131" s="163">
        <v>12</v>
      </c>
      <c r="B131" s="164" t="s">
        <v>319</v>
      </c>
      <c r="C131" s="165">
        <v>20500</v>
      </c>
      <c r="D131" s="166">
        <f t="shared" si="22"/>
        <v>20500</v>
      </c>
      <c r="E131" s="167">
        <f t="shared" si="20"/>
        <v>6663</v>
      </c>
      <c r="F131" s="166">
        <f t="shared" si="21"/>
        <v>2050</v>
      </c>
      <c r="G131" s="167">
        <v>100</v>
      </c>
      <c r="H131" s="166">
        <v>400</v>
      </c>
      <c r="I131" s="167"/>
      <c r="J131" s="174">
        <f t="shared" si="15"/>
        <v>29713</v>
      </c>
      <c r="K131" s="170">
        <v>200</v>
      </c>
      <c r="L131" s="166">
        <f t="shared" si="23"/>
        <v>2050</v>
      </c>
      <c r="M131" s="167">
        <v>0</v>
      </c>
      <c r="N131" s="166">
        <v>80</v>
      </c>
      <c r="O131" s="167"/>
      <c r="P131" s="166">
        <v>20</v>
      </c>
      <c r="Q131" s="167"/>
      <c r="R131" s="167"/>
      <c r="S131" s="170"/>
      <c r="T131" s="170"/>
      <c r="U131" s="166"/>
      <c r="V131" s="167">
        <f>1078+533+901</f>
        <v>2512</v>
      </c>
      <c r="W131" s="175">
        <f t="shared" si="16"/>
        <v>4862</v>
      </c>
      <c r="X131" s="172">
        <f t="shared" si="17"/>
        <v>24851</v>
      </c>
      <c r="Y131" s="172"/>
    </row>
    <row r="132" spans="1:25" s="177" customFormat="1" ht="24.75" customHeight="1">
      <c r="A132" s="163">
        <v>13</v>
      </c>
      <c r="B132" s="164" t="s">
        <v>312</v>
      </c>
      <c r="C132" s="165">
        <v>20500</v>
      </c>
      <c r="D132" s="166">
        <f t="shared" si="22"/>
        <v>20500</v>
      </c>
      <c r="E132" s="167">
        <f t="shared" si="20"/>
        <v>6663</v>
      </c>
      <c r="F132" s="166">
        <f t="shared" si="21"/>
        <v>2050</v>
      </c>
      <c r="G132" s="167">
        <v>100</v>
      </c>
      <c r="H132" s="166">
        <v>400</v>
      </c>
      <c r="I132" s="167"/>
      <c r="J132" s="174">
        <f t="shared" si="15"/>
        <v>29713</v>
      </c>
      <c r="K132" s="170">
        <v>200</v>
      </c>
      <c r="L132" s="166">
        <f t="shared" si="23"/>
        <v>2050</v>
      </c>
      <c r="M132" s="167">
        <v>0</v>
      </c>
      <c r="N132" s="166">
        <v>80</v>
      </c>
      <c r="O132" s="167"/>
      <c r="P132" s="166">
        <v>20</v>
      </c>
      <c r="Q132" s="167"/>
      <c r="R132" s="167"/>
      <c r="S132" s="170"/>
      <c r="T132" s="170"/>
      <c r="U132" s="166"/>
      <c r="V132" s="167">
        <v>0</v>
      </c>
      <c r="W132" s="175">
        <f t="shared" si="16"/>
        <v>2350</v>
      </c>
      <c r="X132" s="172">
        <f t="shared" si="17"/>
        <v>27363</v>
      </c>
      <c r="Y132" s="172"/>
    </row>
    <row r="133" spans="1:25" s="177" customFormat="1" ht="31.5" customHeight="1">
      <c r="A133" s="163">
        <v>14</v>
      </c>
      <c r="B133" s="164" t="s">
        <v>1455</v>
      </c>
      <c r="C133" s="165">
        <v>20500</v>
      </c>
      <c r="D133" s="166">
        <f t="shared" si="22"/>
        <v>20500</v>
      </c>
      <c r="E133" s="167">
        <f t="shared" si="20"/>
        <v>6663</v>
      </c>
      <c r="F133" s="166">
        <f t="shared" si="21"/>
        <v>2050</v>
      </c>
      <c r="G133" s="167">
        <v>100</v>
      </c>
      <c r="H133" s="166">
        <v>400</v>
      </c>
      <c r="I133" s="167"/>
      <c r="J133" s="174">
        <f t="shared" si="15"/>
        <v>29713</v>
      </c>
      <c r="K133" s="170">
        <v>200</v>
      </c>
      <c r="L133" s="166">
        <f t="shared" si="23"/>
        <v>2050</v>
      </c>
      <c r="M133" s="167">
        <v>0</v>
      </c>
      <c r="N133" s="166">
        <v>80</v>
      </c>
      <c r="O133" s="167"/>
      <c r="P133" s="166">
        <v>20</v>
      </c>
      <c r="Q133" s="167">
        <v>500</v>
      </c>
      <c r="R133" s="167"/>
      <c r="S133" s="170"/>
      <c r="T133" s="170"/>
      <c r="U133" s="166"/>
      <c r="V133" s="167">
        <v>5481</v>
      </c>
      <c r="W133" s="175">
        <f t="shared" si="16"/>
        <v>8331</v>
      </c>
      <c r="X133" s="172">
        <f t="shared" si="17"/>
        <v>21382</v>
      </c>
      <c r="Y133" s="172"/>
    </row>
    <row r="134" spans="1:25" s="177" customFormat="1" ht="27">
      <c r="A134" s="163">
        <v>15</v>
      </c>
      <c r="B134" s="164" t="s">
        <v>1461</v>
      </c>
      <c r="C134" s="165">
        <v>20500</v>
      </c>
      <c r="D134" s="166">
        <f t="shared" si="22"/>
        <v>20500</v>
      </c>
      <c r="E134" s="167">
        <f t="shared" si="20"/>
        <v>6663</v>
      </c>
      <c r="F134" s="166">
        <f>ROUND(D149*10%,0)</f>
        <v>2050</v>
      </c>
      <c r="G134" s="167">
        <v>100</v>
      </c>
      <c r="H134" s="166">
        <v>400</v>
      </c>
      <c r="I134" s="167"/>
      <c r="J134" s="174">
        <f t="shared" si="15"/>
        <v>29713</v>
      </c>
      <c r="K134" s="170">
        <v>200</v>
      </c>
      <c r="L134" s="166">
        <f>+F149</f>
        <v>2050</v>
      </c>
      <c r="M134" s="167">
        <v>0</v>
      </c>
      <c r="N134" s="166">
        <v>80</v>
      </c>
      <c r="O134" s="167"/>
      <c r="P134" s="166">
        <v>20</v>
      </c>
      <c r="Q134" s="167">
        <v>500</v>
      </c>
      <c r="R134" s="167"/>
      <c r="S134" s="170"/>
      <c r="T134" s="170"/>
      <c r="U134" s="166"/>
      <c r="V134" s="167">
        <f>557+1095+331+1188</f>
        <v>3171</v>
      </c>
      <c r="W134" s="175">
        <f t="shared" si="16"/>
        <v>6021</v>
      </c>
      <c r="X134" s="172">
        <f t="shared" si="17"/>
        <v>23692</v>
      </c>
      <c r="Y134" s="172"/>
    </row>
    <row r="135" spans="1:25" s="177" customFormat="1" ht="40.5" customHeight="1">
      <c r="A135" s="163">
        <v>17</v>
      </c>
      <c r="B135" s="164" t="s">
        <v>1517</v>
      </c>
      <c r="C135" s="165">
        <f>20500+500</f>
        <v>21000</v>
      </c>
      <c r="D135" s="166">
        <v>21000</v>
      </c>
      <c r="E135" s="167">
        <f t="shared" si="20"/>
        <v>6825</v>
      </c>
      <c r="F135" s="166">
        <f t="shared" si="21"/>
        <v>2100</v>
      </c>
      <c r="G135" s="167">
        <v>100</v>
      </c>
      <c r="H135" s="166">
        <v>400</v>
      </c>
      <c r="I135" s="167"/>
      <c r="J135" s="174">
        <f t="shared" si="15"/>
        <v>30425</v>
      </c>
      <c r="K135" s="170">
        <v>200</v>
      </c>
      <c r="L135" s="166">
        <f t="shared" si="23"/>
        <v>2100</v>
      </c>
      <c r="M135" s="167">
        <v>0</v>
      </c>
      <c r="N135" s="166">
        <v>80</v>
      </c>
      <c r="O135" s="167"/>
      <c r="P135" s="166">
        <v>20</v>
      </c>
      <c r="Q135" s="167"/>
      <c r="R135" s="167"/>
      <c r="S135" s="170"/>
      <c r="T135" s="170"/>
      <c r="U135" s="166"/>
      <c r="V135" s="167">
        <v>8468</v>
      </c>
      <c r="W135" s="175">
        <f t="shared" si="16"/>
        <v>10868</v>
      </c>
      <c r="X135" s="172">
        <f t="shared" si="17"/>
        <v>19557</v>
      </c>
      <c r="Y135" s="172"/>
    </row>
    <row r="136" spans="1:25" s="177" customFormat="1" ht="24.75" customHeight="1">
      <c r="A136" s="163">
        <v>18</v>
      </c>
      <c r="B136" s="164" t="s">
        <v>344</v>
      </c>
      <c r="C136" s="165">
        <v>20500</v>
      </c>
      <c r="D136" s="166">
        <f t="shared" si="22"/>
        <v>20500</v>
      </c>
      <c r="E136" s="167">
        <f t="shared" si="20"/>
        <v>6663</v>
      </c>
      <c r="F136" s="166">
        <f>ROUND(D136*10%,0)</f>
        <v>2050</v>
      </c>
      <c r="G136" s="167">
        <v>100</v>
      </c>
      <c r="H136" s="166">
        <v>400</v>
      </c>
      <c r="I136" s="167"/>
      <c r="J136" s="174">
        <f t="shared" si="15"/>
        <v>29713</v>
      </c>
      <c r="K136" s="170">
        <v>200</v>
      </c>
      <c r="L136" s="166">
        <f t="shared" si="23"/>
        <v>2050</v>
      </c>
      <c r="M136" s="167">
        <v>0</v>
      </c>
      <c r="N136" s="166">
        <v>80</v>
      </c>
      <c r="O136" s="167"/>
      <c r="P136" s="166">
        <v>20</v>
      </c>
      <c r="Q136" s="167"/>
      <c r="R136" s="167"/>
      <c r="S136" s="170"/>
      <c r="T136" s="170"/>
      <c r="U136" s="166"/>
      <c r="V136" s="167">
        <f>1087+596</f>
        <v>1683</v>
      </c>
      <c r="W136" s="175">
        <f t="shared" si="16"/>
        <v>4033</v>
      </c>
      <c r="X136" s="172">
        <f t="shared" si="17"/>
        <v>25680</v>
      </c>
      <c r="Y136" s="172"/>
    </row>
    <row r="137" spans="1:25" s="177" customFormat="1" ht="24.75" customHeight="1">
      <c r="A137" s="163">
        <v>19</v>
      </c>
      <c r="B137" s="164" t="s">
        <v>61</v>
      </c>
      <c r="C137" s="165">
        <v>20500</v>
      </c>
      <c r="D137" s="166">
        <f t="shared" si="22"/>
        <v>20500</v>
      </c>
      <c r="E137" s="167">
        <f t="shared" si="20"/>
        <v>6663</v>
      </c>
      <c r="F137" s="166">
        <f t="shared" si="21"/>
        <v>2050</v>
      </c>
      <c r="G137" s="167">
        <v>100</v>
      </c>
      <c r="H137" s="166">
        <v>400</v>
      </c>
      <c r="I137" s="167"/>
      <c r="J137" s="174">
        <f t="shared" si="15"/>
        <v>29713</v>
      </c>
      <c r="K137" s="170">
        <v>200</v>
      </c>
      <c r="L137" s="166">
        <f aca="true" t="shared" si="24" ref="L137:L143">+F137</f>
        <v>2050</v>
      </c>
      <c r="M137" s="167">
        <v>0</v>
      </c>
      <c r="N137" s="166">
        <v>80</v>
      </c>
      <c r="O137" s="167"/>
      <c r="P137" s="166">
        <v>20</v>
      </c>
      <c r="Q137" s="167"/>
      <c r="R137" s="167"/>
      <c r="S137" s="170"/>
      <c r="T137" s="170"/>
      <c r="U137" s="166"/>
      <c r="V137" s="167">
        <f>257+3262</f>
        <v>3519</v>
      </c>
      <c r="W137" s="175">
        <f t="shared" si="16"/>
        <v>5869</v>
      </c>
      <c r="X137" s="172">
        <f t="shared" si="17"/>
        <v>23844</v>
      </c>
      <c r="Y137" s="172"/>
    </row>
    <row r="138" spans="1:25" s="177" customFormat="1" ht="27" customHeight="1">
      <c r="A138" s="163">
        <v>20</v>
      </c>
      <c r="B138" s="164" t="s">
        <v>1548</v>
      </c>
      <c r="C138" s="165">
        <v>20500</v>
      </c>
      <c r="D138" s="166">
        <f>ROUND(C138*3/31,0)</f>
        <v>1984</v>
      </c>
      <c r="E138" s="167">
        <f t="shared" si="20"/>
        <v>645</v>
      </c>
      <c r="F138" s="166">
        <f t="shared" si="21"/>
        <v>198</v>
      </c>
      <c r="G138" s="167">
        <f>ROUND(100*3/31,0)</f>
        <v>10</v>
      </c>
      <c r="H138" s="166">
        <f>ROUND(400*3/31,0)</f>
        <v>39</v>
      </c>
      <c r="I138" s="167"/>
      <c r="J138" s="174">
        <f t="shared" si="15"/>
        <v>2876</v>
      </c>
      <c r="K138" s="170">
        <v>200</v>
      </c>
      <c r="L138" s="166">
        <v>2050</v>
      </c>
      <c r="M138" s="167">
        <v>0</v>
      </c>
      <c r="N138" s="166">
        <v>80</v>
      </c>
      <c r="O138" s="167"/>
      <c r="P138" s="166">
        <v>20</v>
      </c>
      <c r="Q138" s="167"/>
      <c r="R138" s="167"/>
      <c r="S138" s="170"/>
      <c r="T138" s="170"/>
      <c r="U138" s="166"/>
      <c r="V138" s="167"/>
      <c r="W138" s="175">
        <f t="shared" si="16"/>
        <v>2350</v>
      </c>
      <c r="X138" s="172">
        <f t="shared" si="17"/>
        <v>526</v>
      </c>
      <c r="Y138" s="172"/>
    </row>
    <row r="139" spans="1:25" s="177" customFormat="1" ht="24.75" customHeight="1">
      <c r="A139" s="163">
        <v>21</v>
      </c>
      <c r="B139" s="164" t="s">
        <v>345</v>
      </c>
      <c r="C139" s="165">
        <v>20500</v>
      </c>
      <c r="D139" s="166">
        <f t="shared" si="22"/>
        <v>20500</v>
      </c>
      <c r="E139" s="167">
        <f t="shared" si="20"/>
        <v>6663</v>
      </c>
      <c r="F139" s="166">
        <f t="shared" si="21"/>
        <v>2050</v>
      </c>
      <c r="G139" s="167">
        <v>100</v>
      </c>
      <c r="H139" s="166">
        <v>400</v>
      </c>
      <c r="I139" s="167"/>
      <c r="J139" s="174">
        <f t="shared" si="15"/>
        <v>29713</v>
      </c>
      <c r="K139" s="170">
        <v>200</v>
      </c>
      <c r="L139" s="166">
        <f t="shared" si="24"/>
        <v>2050</v>
      </c>
      <c r="M139" s="167">
        <v>0</v>
      </c>
      <c r="N139" s="166">
        <v>80</v>
      </c>
      <c r="O139" s="167"/>
      <c r="P139" s="166">
        <v>20</v>
      </c>
      <c r="Q139" s="167"/>
      <c r="R139" s="167"/>
      <c r="S139" s="170"/>
      <c r="T139" s="170"/>
      <c r="U139" s="166"/>
      <c r="V139" s="167">
        <f>975+1036+2710+336+289</f>
        <v>5346</v>
      </c>
      <c r="W139" s="175">
        <f t="shared" si="16"/>
        <v>7696</v>
      </c>
      <c r="X139" s="172">
        <f t="shared" si="17"/>
        <v>22017</v>
      </c>
      <c r="Y139" s="172"/>
    </row>
    <row r="140" spans="1:25" s="177" customFormat="1" ht="24.75" customHeight="1">
      <c r="A140" s="163">
        <v>22</v>
      </c>
      <c r="B140" s="164" t="s">
        <v>906</v>
      </c>
      <c r="C140" s="165">
        <v>20500</v>
      </c>
      <c r="D140" s="166">
        <f t="shared" si="22"/>
        <v>20500</v>
      </c>
      <c r="E140" s="167">
        <f t="shared" si="20"/>
        <v>6663</v>
      </c>
      <c r="F140" s="166">
        <f t="shared" si="21"/>
        <v>2050</v>
      </c>
      <c r="G140" s="167">
        <v>100</v>
      </c>
      <c r="H140" s="166">
        <v>400</v>
      </c>
      <c r="I140" s="167"/>
      <c r="J140" s="174">
        <f t="shared" si="15"/>
        <v>29713</v>
      </c>
      <c r="K140" s="170">
        <v>200</v>
      </c>
      <c r="L140" s="166">
        <f t="shared" si="24"/>
        <v>2050</v>
      </c>
      <c r="M140" s="167">
        <v>0</v>
      </c>
      <c r="N140" s="166">
        <v>80</v>
      </c>
      <c r="O140" s="167"/>
      <c r="P140" s="166">
        <v>20</v>
      </c>
      <c r="Q140" s="167"/>
      <c r="R140" s="167"/>
      <c r="S140" s="170"/>
      <c r="T140" s="170"/>
      <c r="U140" s="166"/>
      <c r="V140" s="167">
        <f>331+2804+3542</f>
        <v>6677</v>
      </c>
      <c r="W140" s="175">
        <f t="shared" si="16"/>
        <v>9027</v>
      </c>
      <c r="X140" s="172">
        <f t="shared" si="17"/>
        <v>20686</v>
      </c>
      <c r="Y140" s="172"/>
    </row>
    <row r="141" spans="1:25" s="177" customFormat="1" ht="24.75" customHeight="1">
      <c r="A141" s="163">
        <v>23</v>
      </c>
      <c r="B141" s="164" t="s">
        <v>1463</v>
      </c>
      <c r="C141" s="165">
        <v>20500</v>
      </c>
      <c r="D141" s="166">
        <f t="shared" si="22"/>
        <v>20500</v>
      </c>
      <c r="E141" s="167">
        <f t="shared" si="20"/>
        <v>6663</v>
      </c>
      <c r="F141" s="166">
        <f>ROUND(D141*10%,0)</f>
        <v>2050</v>
      </c>
      <c r="G141" s="167">
        <v>100</v>
      </c>
      <c r="H141" s="166">
        <v>400</v>
      </c>
      <c r="I141" s="167"/>
      <c r="J141" s="174">
        <f t="shared" si="15"/>
        <v>29713</v>
      </c>
      <c r="K141" s="170">
        <v>200</v>
      </c>
      <c r="L141" s="166">
        <f t="shared" si="24"/>
        <v>2050</v>
      </c>
      <c r="M141" s="167">
        <v>0</v>
      </c>
      <c r="N141" s="166">
        <v>80</v>
      </c>
      <c r="O141" s="167"/>
      <c r="P141" s="166">
        <v>20</v>
      </c>
      <c r="Q141" s="167">
        <v>500</v>
      </c>
      <c r="R141" s="167"/>
      <c r="S141" s="170"/>
      <c r="T141" s="170"/>
      <c r="U141" s="166"/>
      <c r="V141" s="167">
        <v>257</v>
      </c>
      <c r="W141" s="175">
        <f t="shared" si="16"/>
        <v>3107</v>
      </c>
      <c r="X141" s="172">
        <f t="shared" si="17"/>
        <v>26606</v>
      </c>
      <c r="Y141" s="172"/>
    </row>
    <row r="142" spans="1:25" s="177" customFormat="1" ht="33" customHeight="1">
      <c r="A142" s="163">
        <v>24</v>
      </c>
      <c r="B142" s="164" t="s">
        <v>1465</v>
      </c>
      <c r="C142" s="165">
        <v>20500</v>
      </c>
      <c r="D142" s="166">
        <f t="shared" si="22"/>
        <v>20500</v>
      </c>
      <c r="E142" s="167">
        <f t="shared" si="20"/>
        <v>6663</v>
      </c>
      <c r="F142" s="166">
        <f>ROUND(D142*10%,0)</f>
        <v>2050</v>
      </c>
      <c r="G142" s="167">
        <v>100</v>
      </c>
      <c r="H142" s="166">
        <v>400</v>
      </c>
      <c r="I142" s="167"/>
      <c r="J142" s="174">
        <f t="shared" si="15"/>
        <v>29713</v>
      </c>
      <c r="K142" s="170">
        <v>200</v>
      </c>
      <c r="L142" s="166">
        <f t="shared" si="24"/>
        <v>2050</v>
      </c>
      <c r="M142" s="167">
        <v>0</v>
      </c>
      <c r="N142" s="166">
        <v>80</v>
      </c>
      <c r="O142" s="167"/>
      <c r="P142" s="166">
        <v>20</v>
      </c>
      <c r="Q142" s="167">
        <v>500</v>
      </c>
      <c r="R142" s="167"/>
      <c r="S142" s="170"/>
      <c r="T142" s="170"/>
      <c r="U142" s="166"/>
      <c r="V142" s="167">
        <v>5258</v>
      </c>
      <c r="W142" s="175">
        <f t="shared" si="16"/>
        <v>8108</v>
      </c>
      <c r="X142" s="172">
        <f t="shared" si="17"/>
        <v>21605</v>
      </c>
      <c r="Y142" s="172"/>
    </row>
    <row r="143" spans="1:25" s="177" customFormat="1" ht="24.75" customHeight="1">
      <c r="A143" s="163">
        <v>25</v>
      </c>
      <c r="B143" s="164" t="s">
        <v>900</v>
      </c>
      <c r="C143" s="165">
        <v>20500</v>
      </c>
      <c r="D143" s="166">
        <f t="shared" si="22"/>
        <v>20500</v>
      </c>
      <c r="E143" s="167">
        <f t="shared" si="20"/>
        <v>6663</v>
      </c>
      <c r="F143" s="166">
        <f>ROUND(D143*10%,0)</f>
        <v>2050</v>
      </c>
      <c r="G143" s="167">
        <v>100</v>
      </c>
      <c r="H143" s="166">
        <v>400</v>
      </c>
      <c r="I143" s="167"/>
      <c r="J143" s="174">
        <f t="shared" si="15"/>
        <v>29713</v>
      </c>
      <c r="K143" s="170">
        <v>200</v>
      </c>
      <c r="L143" s="166">
        <f t="shared" si="24"/>
        <v>2050</v>
      </c>
      <c r="M143" s="167">
        <v>0</v>
      </c>
      <c r="N143" s="166">
        <v>80</v>
      </c>
      <c r="O143" s="167"/>
      <c r="P143" s="166">
        <v>20</v>
      </c>
      <c r="Q143" s="167"/>
      <c r="R143" s="167"/>
      <c r="S143" s="170"/>
      <c r="T143" s="170"/>
      <c r="U143" s="166"/>
      <c r="V143" s="167">
        <f>587+5134</f>
        <v>5721</v>
      </c>
      <c r="W143" s="175">
        <f t="shared" si="16"/>
        <v>8071</v>
      </c>
      <c r="X143" s="172">
        <f t="shared" si="17"/>
        <v>21642</v>
      </c>
      <c r="Y143" s="172"/>
    </row>
    <row r="144" spans="1:25" s="177" customFormat="1" ht="18" customHeight="1">
      <c r="A144" s="163">
        <v>26</v>
      </c>
      <c r="B144" s="164" t="s">
        <v>901</v>
      </c>
      <c r="C144" s="165">
        <v>20500</v>
      </c>
      <c r="D144" s="166">
        <f t="shared" si="22"/>
        <v>20500</v>
      </c>
      <c r="E144" s="167">
        <f t="shared" si="20"/>
        <v>6663</v>
      </c>
      <c r="F144" s="166">
        <f>ROUND(D144*10%,0)</f>
        <v>2050</v>
      </c>
      <c r="G144" s="167">
        <v>100</v>
      </c>
      <c r="H144" s="166">
        <v>400</v>
      </c>
      <c r="I144" s="167"/>
      <c r="J144" s="174">
        <f t="shared" si="15"/>
        <v>29713</v>
      </c>
      <c r="K144" s="170">
        <v>200</v>
      </c>
      <c r="L144" s="166"/>
      <c r="M144" s="167">
        <v>0</v>
      </c>
      <c r="N144" s="166"/>
      <c r="O144" s="167"/>
      <c r="P144" s="166"/>
      <c r="Q144" s="167"/>
      <c r="R144" s="167"/>
      <c r="S144" s="170"/>
      <c r="T144" s="170"/>
      <c r="U144" s="166"/>
      <c r="V144" s="167">
        <f>1079+1128+246</f>
        <v>2453</v>
      </c>
      <c r="W144" s="175">
        <f t="shared" si="16"/>
        <v>2653</v>
      </c>
      <c r="X144" s="172">
        <f t="shared" si="17"/>
        <v>27060</v>
      </c>
      <c r="Y144" s="172"/>
    </row>
    <row r="145" spans="1:25" s="177" customFormat="1" ht="26.25" customHeight="1">
      <c r="A145" s="163">
        <v>27</v>
      </c>
      <c r="B145" s="164" t="s">
        <v>1464</v>
      </c>
      <c r="C145" s="165">
        <v>20500</v>
      </c>
      <c r="D145" s="166">
        <f aca="true" t="shared" si="25" ref="D145:D150">C145</f>
        <v>20500</v>
      </c>
      <c r="E145" s="167">
        <f t="shared" si="20"/>
        <v>6663</v>
      </c>
      <c r="F145" s="166">
        <f t="shared" si="21"/>
        <v>2050</v>
      </c>
      <c r="G145" s="167">
        <v>100</v>
      </c>
      <c r="H145" s="166">
        <v>400</v>
      </c>
      <c r="I145" s="167"/>
      <c r="J145" s="174">
        <f t="shared" si="15"/>
        <v>29713</v>
      </c>
      <c r="K145" s="170">
        <v>200</v>
      </c>
      <c r="L145" s="166"/>
      <c r="M145" s="167">
        <v>0</v>
      </c>
      <c r="N145" s="166"/>
      <c r="O145" s="167"/>
      <c r="P145" s="166"/>
      <c r="Q145" s="167">
        <v>500</v>
      </c>
      <c r="R145" s="167"/>
      <c r="S145" s="170"/>
      <c r="T145" s="170"/>
      <c r="U145" s="166"/>
      <c r="V145" s="167">
        <v>1765</v>
      </c>
      <c r="W145" s="175">
        <f t="shared" si="16"/>
        <v>2465</v>
      </c>
      <c r="X145" s="172">
        <f t="shared" si="17"/>
        <v>27248</v>
      </c>
      <c r="Y145" s="172"/>
    </row>
    <row r="146" spans="1:29" s="177" customFormat="1" ht="26.25" customHeight="1">
      <c r="A146" s="163">
        <v>28</v>
      </c>
      <c r="B146" s="164" t="s">
        <v>1456</v>
      </c>
      <c r="C146" s="165">
        <v>20500</v>
      </c>
      <c r="D146" s="166">
        <f t="shared" si="25"/>
        <v>20500</v>
      </c>
      <c r="E146" s="167">
        <f t="shared" si="20"/>
        <v>6663</v>
      </c>
      <c r="F146" s="166">
        <f>ROUND(D146*10%,0)</f>
        <v>2050</v>
      </c>
      <c r="G146" s="167">
        <v>100</v>
      </c>
      <c r="H146" s="166">
        <v>400</v>
      </c>
      <c r="I146" s="167">
        <v>225</v>
      </c>
      <c r="J146" s="174">
        <f t="shared" si="15"/>
        <v>29938</v>
      </c>
      <c r="K146" s="170">
        <v>200</v>
      </c>
      <c r="L146" s="166">
        <f>+F146</f>
        <v>2050</v>
      </c>
      <c r="M146" s="167">
        <v>0</v>
      </c>
      <c r="N146" s="166">
        <v>80</v>
      </c>
      <c r="O146" s="167"/>
      <c r="P146" s="166">
        <v>20</v>
      </c>
      <c r="Q146" s="167">
        <v>500</v>
      </c>
      <c r="R146" s="167"/>
      <c r="S146" s="170"/>
      <c r="T146" s="170"/>
      <c r="U146" s="166"/>
      <c r="V146" s="167">
        <f>1369+255+2008+2852</f>
        <v>6484</v>
      </c>
      <c r="W146" s="175">
        <f t="shared" si="16"/>
        <v>9334</v>
      </c>
      <c r="X146" s="172">
        <f t="shared" si="17"/>
        <v>20604</v>
      </c>
      <c r="Y146" s="172"/>
      <c r="Z146" s="177">
        <v>108</v>
      </c>
      <c r="AA146" s="177" t="e">
        <f>Z146+#REF!+#REF!+#REF!+#REF!</f>
        <v>#REF!</v>
      </c>
      <c r="AC146" s="177">
        <f>255-108</f>
        <v>147</v>
      </c>
    </row>
    <row r="147" spans="1:25" s="177" customFormat="1" ht="31.5" customHeight="1">
      <c r="A147" s="163">
        <v>29</v>
      </c>
      <c r="B147" s="164" t="s">
        <v>62</v>
      </c>
      <c r="C147" s="165">
        <v>20500</v>
      </c>
      <c r="D147" s="166">
        <f t="shared" si="25"/>
        <v>20500</v>
      </c>
      <c r="E147" s="167">
        <f t="shared" si="20"/>
        <v>6663</v>
      </c>
      <c r="F147" s="166">
        <f>ROUND(D147*10%,0)</f>
        <v>2050</v>
      </c>
      <c r="G147" s="167">
        <v>100</v>
      </c>
      <c r="H147" s="166">
        <v>400</v>
      </c>
      <c r="I147" s="167"/>
      <c r="J147" s="174">
        <f t="shared" si="15"/>
        <v>29713</v>
      </c>
      <c r="K147" s="170">
        <v>200</v>
      </c>
      <c r="L147" s="166">
        <f>+F147</f>
        <v>2050</v>
      </c>
      <c r="M147" s="167">
        <v>0</v>
      </c>
      <c r="N147" s="166">
        <v>80</v>
      </c>
      <c r="O147" s="167"/>
      <c r="P147" s="166">
        <v>20</v>
      </c>
      <c r="Q147" s="167"/>
      <c r="R147" s="167"/>
      <c r="S147" s="170"/>
      <c r="T147" s="170"/>
      <c r="U147" s="166"/>
      <c r="V147" s="167">
        <f>4083+1021</f>
        <v>5104</v>
      </c>
      <c r="W147" s="175">
        <f t="shared" si="16"/>
        <v>7454</v>
      </c>
      <c r="X147" s="172">
        <f t="shared" si="17"/>
        <v>22259</v>
      </c>
      <c r="Y147" s="172"/>
    </row>
    <row r="148" spans="1:25" s="177" customFormat="1" ht="18" customHeight="1">
      <c r="A148" s="163">
        <v>30</v>
      </c>
      <c r="B148" s="164" t="s">
        <v>453</v>
      </c>
      <c r="C148" s="165">
        <v>20500</v>
      </c>
      <c r="D148" s="166">
        <f t="shared" si="25"/>
        <v>20500</v>
      </c>
      <c r="E148" s="167">
        <f t="shared" si="20"/>
        <v>6663</v>
      </c>
      <c r="F148" s="166">
        <f>ROUND(D148*10%,0)</f>
        <v>2050</v>
      </c>
      <c r="G148" s="167">
        <v>100</v>
      </c>
      <c r="H148" s="166">
        <v>400</v>
      </c>
      <c r="I148" s="167"/>
      <c r="J148" s="174">
        <f t="shared" si="15"/>
        <v>29713</v>
      </c>
      <c r="K148" s="170">
        <v>200</v>
      </c>
      <c r="L148" s="166">
        <f>+F148</f>
        <v>2050</v>
      </c>
      <c r="M148" s="167">
        <v>0</v>
      </c>
      <c r="N148" s="166">
        <v>80</v>
      </c>
      <c r="O148" s="167"/>
      <c r="P148" s="166">
        <v>20</v>
      </c>
      <c r="Q148" s="167"/>
      <c r="R148" s="167"/>
      <c r="S148" s="170"/>
      <c r="T148" s="170"/>
      <c r="U148" s="166"/>
      <c r="V148" s="167">
        <f>ROUND(2165+1516.5,0)</f>
        <v>3682</v>
      </c>
      <c r="W148" s="175">
        <f t="shared" si="16"/>
        <v>6032</v>
      </c>
      <c r="X148" s="172">
        <f t="shared" si="17"/>
        <v>23681</v>
      </c>
      <c r="Y148" s="172"/>
    </row>
    <row r="149" spans="1:25" s="177" customFormat="1" ht="18" customHeight="1">
      <c r="A149" s="163">
        <v>31</v>
      </c>
      <c r="B149" s="164" t="s">
        <v>641</v>
      </c>
      <c r="C149" s="165">
        <v>20500</v>
      </c>
      <c r="D149" s="166">
        <f t="shared" si="25"/>
        <v>20500</v>
      </c>
      <c r="E149" s="167">
        <f t="shared" si="20"/>
        <v>6663</v>
      </c>
      <c r="F149" s="166">
        <f t="shared" si="21"/>
        <v>2050</v>
      </c>
      <c r="G149" s="167">
        <v>100</v>
      </c>
      <c r="H149" s="166">
        <v>400</v>
      </c>
      <c r="I149" s="167"/>
      <c r="J149" s="174">
        <f t="shared" si="15"/>
        <v>29713</v>
      </c>
      <c r="K149" s="170">
        <v>200</v>
      </c>
      <c r="L149" s="166"/>
      <c r="M149" s="167">
        <v>0</v>
      </c>
      <c r="N149" s="166"/>
      <c r="O149" s="167"/>
      <c r="P149" s="166"/>
      <c r="Q149" s="167"/>
      <c r="R149" s="167"/>
      <c r="S149" s="170"/>
      <c r="T149" s="170"/>
      <c r="U149" s="166"/>
      <c r="V149" s="167">
        <f>645+974+612</f>
        <v>2231</v>
      </c>
      <c r="W149" s="175">
        <f t="shared" si="16"/>
        <v>2431</v>
      </c>
      <c r="X149" s="172">
        <f t="shared" si="17"/>
        <v>27282</v>
      </c>
      <c r="Y149" s="172"/>
    </row>
    <row r="150" spans="1:25" s="177" customFormat="1" ht="18" customHeight="1">
      <c r="A150" s="163">
        <v>32</v>
      </c>
      <c r="B150" s="164" t="s">
        <v>907</v>
      </c>
      <c r="C150" s="165">
        <v>20500</v>
      </c>
      <c r="D150" s="166">
        <f t="shared" si="25"/>
        <v>20500</v>
      </c>
      <c r="E150" s="167">
        <f t="shared" si="20"/>
        <v>6663</v>
      </c>
      <c r="F150" s="166">
        <f>ROUND(D150*10%,0)</f>
        <v>2050</v>
      </c>
      <c r="G150" s="167">
        <v>100</v>
      </c>
      <c r="H150" s="166">
        <v>400</v>
      </c>
      <c r="I150" s="167"/>
      <c r="J150" s="174">
        <f t="shared" si="15"/>
        <v>29713</v>
      </c>
      <c r="K150" s="170">
        <v>200</v>
      </c>
      <c r="L150" s="166">
        <v>2050</v>
      </c>
      <c r="M150" s="167">
        <v>0</v>
      </c>
      <c r="N150" s="166">
        <v>80</v>
      </c>
      <c r="O150" s="167"/>
      <c r="P150" s="166">
        <v>20</v>
      </c>
      <c r="Q150" s="167"/>
      <c r="R150" s="167"/>
      <c r="S150" s="170"/>
      <c r="T150" s="170"/>
      <c r="U150" s="166"/>
      <c r="V150" s="167">
        <v>3162</v>
      </c>
      <c r="W150" s="175">
        <f t="shared" si="16"/>
        <v>5512</v>
      </c>
      <c r="X150" s="172">
        <f t="shared" si="17"/>
        <v>24201</v>
      </c>
      <c r="Y150" s="172"/>
    </row>
    <row r="151" spans="1:25" s="177" customFormat="1" ht="18" customHeight="1">
      <c r="A151" s="163">
        <v>33</v>
      </c>
      <c r="B151" s="164" t="s">
        <v>63</v>
      </c>
      <c r="C151" s="165">
        <v>20500</v>
      </c>
      <c r="D151" s="166">
        <f>C151</f>
        <v>20500</v>
      </c>
      <c r="E151" s="167">
        <f t="shared" si="20"/>
        <v>6663</v>
      </c>
      <c r="F151" s="166">
        <f t="shared" si="21"/>
        <v>2050</v>
      </c>
      <c r="G151" s="167">
        <v>100</v>
      </c>
      <c r="H151" s="166">
        <v>400</v>
      </c>
      <c r="I151" s="167"/>
      <c r="J151" s="174">
        <f t="shared" si="15"/>
        <v>29713</v>
      </c>
      <c r="K151" s="170">
        <v>200</v>
      </c>
      <c r="L151" s="166">
        <f>+F151</f>
        <v>2050</v>
      </c>
      <c r="M151" s="167">
        <v>0</v>
      </c>
      <c r="N151" s="166">
        <v>80</v>
      </c>
      <c r="O151" s="167"/>
      <c r="P151" s="166">
        <v>20</v>
      </c>
      <c r="Q151" s="167"/>
      <c r="R151" s="167"/>
      <c r="S151" s="170"/>
      <c r="T151" s="170"/>
      <c r="U151" s="166"/>
      <c r="V151" s="167">
        <f>2803+610</f>
        <v>3413</v>
      </c>
      <c r="W151" s="175">
        <f t="shared" si="16"/>
        <v>5763</v>
      </c>
      <c r="X151" s="172">
        <f t="shared" si="17"/>
        <v>23950</v>
      </c>
      <c r="Y151" s="172"/>
    </row>
    <row r="152" spans="1:25" s="177" customFormat="1" ht="18" customHeight="1">
      <c r="A152" s="163">
        <v>34</v>
      </c>
      <c r="B152" s="164" t="s">
        <v>64</v>
      </c>
      <c r="C152" s="165">
        <v>20500</v>
      </c>
      <c r="D152" s="166">
        <f>C152</f>
        <v>20500</v>
      </c>
      <c r="E152" s="167">
        <f t="shared" si="20"/>
        <v>6663</v>
      </c>
      <c r="F152" s="166">
        <f t="shared" si="21"/>
        <v>2050</v>
      </c>
      <c r="G152" s="167">
        <v>100</v>
      </c>
      <c r="H152" s="166">
        <v>400</v>
      </c>
      <c r="I152" s="167"/>
      <c r="J152" s="174">
        <f t="shared" si="15"/>
        <v>29713</v>
      </c>
      <c r="K152" s="170">
        <v>200</v>
      </c>
      <c r="L152" s="166">
        <f>+F152</f>
        <v>2050</v>
      </c>
      <c r="M152" s="167">
        <v>0</v>
      </c>
      <c r="N152" s="166">
        <v>80</v>
      </c>
      <c r="O152" s="167"/>
      <c r="P152" s="166">
        <v>20</v>
      </c>
      <c r="Q152" s="167"/>
      <c r="R152" s="167"/>
      <c r="S152" s="170"/>
      <c r="T152" s="170"/>
      <c r="U152" s="166"/>
      <c r="V152" s="167">
        <f>742+1709</f>
        <v>2451</v>
      </c>
      <c r="W152" s="175">
        <f t="shared" si="16"/>
        <v>4801</v>
      </c>
      <c r="X152" s="172">
        <f t="shared" si="17"/>
        <v>24912</v>
      </c>
      <c r="Y152" s="172"/>
    </row>
    <row r="153" spans="1:25" ht="18" customHeight="1">
      <c r="A153" s="163">
        <v>35</v>
      </c>
      <c r="B153" s="186" t="s">
        <v>65</v>
      </c>
      <c r="C153" s="165">
        <v>20500</v>
      </c>
      <c r="D153" s="166">
        <f>C153</f>
        <v>20500</v>
      </c>
      <c r="E153" s="167">
        <f t="shared" si="20"/>
        <v>6663</v>
      </c>
      <c r="F153" s="166">
        <f>ROUND(D153*10%,0)</f>
        <v>2050</v>
      </c>
      <c r="G153" s="167">
        <v>100</v>
      </c>
      <c r="H153" s="166">
        <v>400</v>
      </c>
      <c r="I153" s="167"/>
      <c r="J153" s="174">
        <f t="shared" si="15"/>
        <v>29713</v>
      </c>
      <c r="K153" s="170">
        <v>200</v>
      </c>
      <c r="L153" s="166">
        <f>+F153</f>
        <v>2050</v>
      </c>
      <c r="M153" s="167">
        <v>0</v>
      </c>
      <c r="N153" s="166">
        <v>80</v>
      </c>
      <c r="O153" s="167"/>
      <c r="P153" s="166">
        <v>20</v>
      </c>
      <c r="Q153" s="167"/>
      <c r="R153" s="167"/>
      <c r="S153" s="170"/>
      <c r="T153" s="170"/>
      <c r="U153" s="166"/>
      <c r="V153" s="167">
        <f>1344+2374+2769</f>
        <v>6487</v>
      </c>
      <c r="W153" s="175">
        <f t="shared" si="16"/>
        <v>8837</v>
      </c>
      <c r="X153" s="172">
        <f t="shared" si="17"/>
        <v>20876</v>
      </c>
      <c r="Y153" s="188"/>
    </row>
    <row r="154" spans="1:25" s="177" customFormat="1" ht="30.75" customHeight="1">
      <c r="A154" s="163">
        <v>36</v>
      </c>
      <c r="B154" s="164" t="s">
        <v>1561</v>
      </c>
      <c r="C154" s="165">
        <v>20500</v>
      </c>
      <c r="D154" s="166">
        <f>ROUND(C154*22/31,0)</f>
        <v>14548</v>
      </c>
      <c r="E154" s="167">
        <f t="shared" si="20"/>
        <v>4728</v>
      </c>
      <c r="F154" s="166">
        <f>ROUND(D154*10%,0)</f>
        <v>1455</v>
      </c>
      <c r="G154" s="167">
        <f>ROUND(100*22/31,0)</f>
        <v>71</v>
      </c>
      <c r="H154" s="166">
        <f>ROUND(400*22/31,0)</f>
        <v>284</v>
      </c>
      <c r="I154" s="167"/>
      <c r="J154" s="174">
        <f t="shared" si="15"/>
        <v>21086</v>
      </c>
      <c r="K154" s="170">
        <v>200</v>
      </c>
      <c r="L154" s="166">
        <f>+F154</f>
        <v>1455</v>
      </c>
      <c r="M154" s="167">
        <v>0</v>
      </c>
      <c r="N154" s="166">
        <v>80</v>
      </c>
      <c r="O154" s="167"/>
      <c r="P154" s="166">
        <v>20</v>
      </c>
      <c r="Q154" s="167"/>
      <c r="R154" s="167"/>
      <c r="S154" s="170"/>
      <c r="T154" s="170"/>
      <c r="U154" s="166"/>
      <c r="V154" s="167">
        <f>1081+510+2336+235</f>
        <v>4162</v>
      </c>
      <c r="W154" s="175">
        <f t="shared" si="16"/>
        <v>5917</v>
      </c>
      <c r="X154" s="172">
        <f t="shared" si="17"/>
        <v>15169</v>
      </c>
      <c r="Y154" s="172"/>
    </row>
    <row r="155" spans="1:25" s="177" customFormat="1" ht="18" customHeight="1">
      <c r="A155" s="163">
        <v>37</v>
      </c>
      <c r="B155" s="164" t="s">
        <v>66</v>
      </c>
      <c r="C155" s="165">
        <v>20500</v>
      </c>
      <c r="D155" s="166">
        <f aca="true" t="shared" si="26" ref="D155:D169">C155</f>
        <v>20500</v>
      </c>
      <c r="E155" s="167">
        <f t="shared" si="20"/>
        <v>6663</v>
      </c>
      <c r="F155" s="166">
        <f>ROUND(D155*10%,0)</f>
        <v>2050</v>
      </c>
      <c r="G155" s="167">
        <v>100</v>
      </c>
      <c r="H155" s="166">
        <v>400</v>
      </c>
      <c r="I155" s="167"/>
      <c r="J155" s="174">
        <f t="shared" si="15"/>
        <v>29713</v>
      </c>
      <c r="K155" s="170">
        <v>200</v>
      </c>
      <c r="L155" s="166"/>
      <c r="M155" s="167">
        <v>0</v>
      </c>
      <c r="N155" s="166"/>
      <c r="O155" s="167"/>
      <c r="P155" s="166"/>
      <c r="Q155" s="167"/>
      <c r="R155" s="167"/>
      <c r="S155" s="170"/>
      <c r="T155" s="170"/>
      <c r="U155" s="166"/>
      <c r="V155" s="167">
        <v>0</v>
      </c>
      <c r="W155" s="175">
        <f t="shared" si="16"/>
        <v>200</v>
      </c>
      <c r="X155" s="172">
        <f t="shared" si="17"/>
        <v>29513</v>
      </c>
      <c r="Y155" s="172"/>
    </row>
    <row r="156" spans="1:25" s="177" customFormat="1" ht="35.25" customHeight="1">
      <c r="A156" s="163">
        <v>38</v>
      </c>
      <c r="B156" s="164" t="s">
        <v>67</v>
      </c>
      <c r="C156" s="165">
        <v>20500</v>
      </c>
      <c r="D156" s="166">
        <f t="shared" si="26"/>
        <v>20500</v>
      </c>
      <c r="E156" s="167">
        <f t="shared" si="20"/>
        <v>6663</v>
      </c>
      <c r="F156" s="166">
        <f>ROUND(D156*10%,0)</f>
        <v>2050</v>
      </c>
      <c r="G156" s="167">
        <v>100</v>
      </c>
      <c r="H156" s="166">
        <v>400</v>
      </c>
      <c r="I156" s="167"/>
      <c r="J156" s="174">
        <f t="shared" si="15"/>
        <v>29713</v>
      </c>
      <c r="K156" s="170">
        <v>200</v>
      </c>
      <c r="L156" s="166">
        <f>+F156</f>
        <v>2050</v>
      </c>
      <c r="M156" s="167">
        <v>0</v>
      </c>
      <c r="N156" s="166">
        <v>80</v>
      </c>
      <c r="O156" s="167"/>
      <c r="P156" s="166">
        <v>20</v>
      </c>
      <c r="Q156" s="167"/>
      <c r="R156" s="167"/>
      <c r="S156" s="170"/>
      <c r="T156" s="170"/>
      <c r="U156" s="166"/>
      <c r="V156" s="167">
        <f>2042+1021</f>
        <v>3063</v>
      </c>
      <c r="W156" s="175">
        <f t="shared" si="16"/>
        <v>5413</v>
      </c>
      <c r="X156" s="172">
        <f t="shared" si="17"/>
        <v>24300</v>
      </c>
      <c r="Y156" s="172"/>
    </row>
    <row r="157" spans="1:27" s="177" customFormat="1" ht="32.25" customHeight="1">
      <c r="A157" s="325">
        <v>39</v>
      </c>
      <c r="B157" s="323" t="s">
        <v>1432</v>
      </c>
      <c r="C157" s="165">
        <v>20500</v>
      </c>
      <c r="D157" s="166">
        <f t="shared" si="26"/>
        <v>20500</v>
      </c>
      <c r="E157" s="167">
        <f t="shared" si="20"/>
        <v>6663</v>
      </c>
      <c r="F157" s="166">
        <f t="shared" si="21"/>
        <v>2050</v>
      </c>
      <c r="G157" s="167">
        <v>100</v>
      </c>
      <c r="H157" s="166">
        <v>400</v>
      </c>
      <c r="I157" s="167"/>
      <c r="J157" s="174">
        <f t="shared" si="15"/>
        <v>29713</v>
      </c>
      <c r="K157" s="170">
        <v>200</v>
      </c>
      <c r="L157" s="166"/>
      <c r="M157" s="167">
        <v>0</v>
      </c>
      <c r="N157" s="166"/>
      <c r="O157" s="167"/>
      <c r="P157" s="166"/>
      <c r="Q157" s="167"/>
      <c r="R157" s="167"/>
      <c r="S157" s="170"/>
      <c r="T157" s="170"/>
      <c r="U157" s="166"/>
      <c r="V157" s="167">
        <v>1020</v>
      </c>
      <c r="W157" s="175">
        <f t="shared" si="16"/>
        <v>1220</v>
      </c>
      <c r="X157" s="172">
        <f t="shared" si="17"/>
        <v>28493</v>
      </c>
      <c r="Y157" s="172"/>
      <c r="AA157" s="240"/>
    </row>
    <row r="158" spans="1:25" s="177" customFormat="1" ht="30.75" customHeight="1">
      <c r="A158" s="163">
        <v>40</v>
      </c>
      <c r="B158" s="164" t="s">
        <v>1462</v>
      </c>
      <c r="C158" s="165">
        <v>20500</v>
      </c>
      <c r="D158" s="166">
        <f t="shared" si="26"/>
        <v>20500</v>
      </c>
      <c r="E158" s="167">
        <f t="shared" si="20"/>
        <v>6663</v>
      </c>
      <c r="F158" s="166">
        <f t="shared" si="21"/>
        <v>2050</v>
      </c>
      <c r="G158" s="167">
        <v>100</v>
      </c>
      <c r="H158" s="166">
        <v>400</v>
      </c>
      <c r="I158" s="167"/>
      <c r="J158" s="174">
        <f t="shared" si="15"/>
        <v>29713</v>
      </c>
      <c r="K158" s="170">
        <v>200</v>
      </c>
      <c r="L158" s="166">
        <v>2050</v>
      </c>
      <c r="M158" s="167">
        <v>0</v>
      </c>
      <c r="N158" s="166">
        <v>80</v>
      </c>
      <c r="O158" s="167"/>
      <c r="P158" s="166">
        <v>20</v>
      </c>
      <c r="Q158" s="167">
        <v>500</v>
      </c>
      <c r="R158" s="167"/>
      <c r="S158" s="170"/>
      <c r="T158" s="170"/>
      <c r="U158" s="166"/>
      <c r="V158" s="167">
        <v>3977</v>
      </c>
      <c r="W158" s="175">
        <f t="shared" si="16"/>
        <v>6827</v>
      </c>
      <c r="X158" s="172">
        <f t="shared" si="17"/>
        <v>22886</v>
      </c>
      <c r="Y158" s="172"/>
    </row>
    <row r="159" spans="1:27" s="177" customFormat="1" ht="15">
      <c r="A159" s="163">
        <v>41</v>
      </c>
      <c r="B159" s="164" t="s">
        <v>1433</v>
      </c>
      <c r="C159" s="165">
        <v>20500</v>
      </c>
      <c r="D159" s="166">
        <f t="shared" si="26"/>
        <v>20500</v>
      </c>
      <c r="E159" s="167">
        <f t="shared" si="20"/>
        <v>6663</v>
      </c>
      <c r="F159" s="166">
        <f>ROUND(D159*10%,0)</f>
        <v>2050</v>
      </c>
      <c r="G159" s="167">
        <v>100</v>
      </c>
      <c r="H159" s="166">
        <v>400</v>
      </c>
      <c r="I159" s="167"/>
      <c r="J159" s="174">
        <f t="shared" si="15"/>
        <v>29713</v>
      </c>
      <c r="K159" s="170">
        <v>200</v>
      </c>
      <c r="L159" s="166">
        <v>2050</v>
      </c>
      <c r="M159" s="167">
        <v>0</v>
      </c>
      <c r="N159" s="166">
        <v>80</v>
      </c>
      <c r="O159" s="167"/>
      <c r="P159" s="166">
        <v>20</v>
      </c>
      <c r="Q159" s="167"/>
      <c r="R159" s="167"/>
      <c r="S159" s="170"/>
      <c r="T159" s="170"/>
      <c r="U159" s="166"/>
      <c r="V159" s="167">
        <v>9539</v>
      </c>
      <c r="W159" s="175">
        <f t="shared" si="16"/>
        <v>11889</v>
      </c>
      <c r="X159" s="172">
        <f t="shared" si="17"/>
        <v>17824</v>
      </c>
      <c r="Y159" s="172"/>
      <c r="AA159" s="240"/>
    </row>
    <row r="160" spans="1:25" s="177" customFormat="1" ht="18" customHeight="1">
      <c r="A160" s="163">
        <v>42</v>
      </c>
      <c r="B160" s="164" t="s">
        <v>1072</v>
      </c>
      <c r="C160" s="165">
        <v>20500</v>
      </c>
      <c r="D160" s="166">
        <f t="shared" si="26"/>
        <v>20500</v>
      </c>
      <c r="E160" s="167">
        <f t="shared" si="20"/>
        <v>6663</v>
      </c>
      <c r="F160" s="166">
        <f t="shared" si="21"/>
        <v>2050</v>
      </c>
      <c r="G160" s="167">
        <v>100</v>
      </c>
      <c r="H160" s="166">
        <v>400</v>
      </c>
      <c r="I160" s="167"/>
      <c r="J160" s="174">
        <f t="shared" si="15"/>
        <v>29713</v>
      </c>
      <c r="K160" s="170">
        <v>200</v>
      </c>
      <c r="L160" s="166">
        <f>+F160</f>
        <v>2050</v>
      </c>
      <c r="M160" s="167">
        <v>0</v>
      </c>
      <c r="N160" s="166">
        <v>80</v>
      </c>
      <c r="O160" s="167"/>
      <c r="P160" s="166">
        <v>20</v>
      </c>
      <c r="Q160" s="167"/>
      <c r="R160" s="167"/>
      <c r="S160" s="170"/>
      <c r="T160" s="170"/>
      <c r="U160" s="166"/>
      <c r="V160" s="167">
        <v>1385</v>
      </c>
      <c r="W160" s="175">
        <f t="shared" si="16"/>
        <v>3735</v>
      </c>
      <c r="X160" s="172">
        <f t="shared" si="17"/>
        <v>25978</v>
      </c>
      <c r="Y160" s="172"/>
    </row>
    <row r="161" spans="1:25" s="177" customFormat="1" ht="18" customHeight="1">
      <c r="A161" s="163">
        <v>43</v>
      </c>
      <c r="B161" s="164" t="s">
        <v>68</v>
      </c>
      <c r="C161" s="165">
        <v>20500</v>
      </c>
      <c r="D161" s="166">
        <f t="shared" si="26"/>
        <v>20500</v>
      </c>
      <c r="E161" s="167">
        <f t="shared" si="20"/>
        <v>6663</v>
      </c>
      <c r="F161" s="166">
        <f t="shared" si="21"/>
        <v>2050</v>
      </c>
      <c r="G161" s="167">
        <v>100</v>
      </c>
      <c r="H161" s="166">
        <v>400</v>
      </c>
      <c r="I161" s="167"/>
      <c r="J161" s="174">
        <f aca="true" t="shared" si="27" ref="J161:J215">SUM(D161:I161)</f>
        <v>29713</v>
      </c>
      <c r="K161" s="170">
        <v>200</v>
      </c>
      <c r="L161" s="166">
        <f>+F161</f>
        <v>2050</v>
      </c>
      <c r="M161" s="167">
        <v>0</v>
      </c>
      <c r="N161" s="166">
        <v>80</v>
      </c>
      <c r="O161" s="167"/>
      <c r="P161" s="166">
        <v>20</v>
      </c>
      <c r="Q161" s="167"/>
      <c r="R161" s="167"/>
      <c r="S161" s="170"/>
      <c r="T161" s="170"/>
      <c r="U161" s="166"/>
      <c r="V161" s="167">
        <f>539+762+762+523+909+909+899+899</f>
        <v>6202</v>
      </c>
      <c r="W161" s="175">
        <f t="shared" si="16"/>
        <v>8552</v>
      </c>
      <c r="X161" s="172">
        <f t="shared" si="17"/>
        <v>21161</v>
      </c>
      <c r="Y161" s="172"/>
    </row>
    <row r="162" spans="1:25" s="177" customFormat="1" ht="30" customHeight="1">
      <c r="A162" s="163">
        <v>44</v>
      </c>
      <c r="B162" s="164" t="s">
        <v>1457</v>
      </c>
      <c r="C162" s="165">
        <v>20500</v>
      </c>
      <c r="D162" s="166">
        <f t="shared" si="26"/>
        <v>20500</v>
      </c>
      <c r="E162" s="167">
        <f t="shared" si="20"/>
        <v>6663</v>
      </c>
      <c r="F162" s="166">
        <f>ROUND(D162*10%,0)</f>
        <v>2050</v>
      </c>
      <c r="G162" s="167">
        <v>100</v>
      </c>
      <c r="H162" s="166">
        <v>400</v>
      </c>
      <c r="I162" s="167"/>
      <c r="J162" s="174">
        <f t="shared" si="27"/>
        <v>29713</v>
      </c>
      <c r="K162" s="170">
        <v>200</v>
      </c>
      <c r="L162" s="166">
        <f>+F162</f>
        <v>2050</v>
      </c>
      <c r="M162" s="167">
        <v>0</v>
      </c>
      <c r="N162" s="166">
        <v>80</v>
      </c>
      <c r="O162" s="167"/>
      <c r="P162" s="166">
        <v>20</v>
      </c>
      <c r="Q162" s="167">
        <v>500</v>
      </c>
      <c r="R162" s="167"/>
      <c r="S162" s="170" t="s">
        <v>313</v>
      </c>
      <c r="T162" s="170"/>
      <c r="U162" s="166"/>
      <c r="V162" s="167">
        <f>533+1064+901+1329</f>
        <v>3827</v>
      </c>
      <c r="W162" s="175">
        <f t="shared" si="16"/>
        <v>6677</v>
      </c>
      <c r="X162" s="172">
        <f t="shared" si="17"/>
        <v>23036</v>
      </c>
      <c r="Y162" s="172"/>
    </row>
    <row r="163" spans="1:25" s="177" customFormat="1" ht="18" customHeight="1">
      <c r="A163" s="163">
        <v>45</v>
      </c>
      <c r="B163" s="164" t="s">
        <v>69</v>
      </c>
      <c r="C163" s="165">
        <v>20500</v>
      </c>
      <c r="D163" s="166">
        <f t="shared" si="26"/>
        <v>20500</v>
      </c>
      <c r="E163" s="167">
        <f t="shared" si="20"/>
        <v>6663</v>
      </c>
      <c r="F163" s="166">
        <f t="shared" si="21"/>
        <v>2050</v>
      </c>
      <c r="G163" s="167">
        <v>100</v>
      </c>
      <c r="H163" s="166">
        <v>400</v>
      </c>
      <c r="I163" s="167"/>
      <c r="J163" s="174">
        <f t="shared" si="27"/>
        <v>29713</v>
      </c>
      <c r="K163" s="170">
        <v>200</v>
      </c>
      <c r="L163" s="166"/>
      <c r="M163" s="167">
        <v>0</v>
      </c>
      <c r="N163" s="166">
        <v>80</v>
      </c>
      <c r="O163" s="167"/>
      <c r="P163" s="166"/>
      <c r="Q163" s="167"/>
      <c r="R163" s="167"/>
      <c r="S163" s="170"/>
      <c r="T163" s="170"/>
      <c r="U163" s="166"/>
      <c r="V163" s="167">
        <v>0</v>
      </c>
      <c r="W163" s="175">
        <f t="shared" si="16"/>
        <v>280</v>
      </c>
      <c r="X163" s="172">
        <f t="shared" si="17"/>
        <v>29433</v>
      </c>
      <c r="Y163" s="172"/>
    </row>
    <row r="164" spans="1:25" s="177" customFormat="1" ht="18" customHeight="1">
      <c r="A164" s="163">
        <v>46</v>
      </c>
      <c r="B164" s="164" t="s">
        <v>70</v>
      </c>
      <c r="C164" s="165">
        <v>20500</v>
      </c>
      <c r="D164" s="166">
        <f t="shared" si="26"/>
        <v>20500</v>
      </c>
      <c r="E164" s="167">
        <f t="shared" si="20"/>
        <v>6663</v>
      </c>
      <c r="F164" s="166">
        <f t="shared" si="21"/>
        <v>2050</v>
      </c>
      <c r="G164" s="167">
        <v>100</v>
      </c>
      <c r="H164" s="166">
        <v>400</v>
      </c>
      <c r="I164" s="167"/>
      <c r="J164" s="174">
        <f t="shared" si="27"/>
        <v>29713</v>
      </c>
      <c r="K164" s="170">
        <v>200</v>
      </c>
      <c r="L164" s="166">
        <f>+F164</f>
        <v>2050</v>
      </c>
      <c r="M164" s="167">
        <v>0</v>
      </c>
      <c r="N164" s="166"/>
      <c r="O164" s="167">
        <v>0</v>
      </c>
      <c r="P164" s="166"/>
      <c r="Q164" s="167"/>
      <c r="R164" s="167"/>
      <c r="S164" s="170"/>
      <c r="T164" s="170"/>
      <c r="U164" s="166"/>
      <c r="V164" s="167">
        <f>1078+3095+235</f>
        <v>4408</v>
      </c>
      <c r="W164" s="175">
        <f t="shared" si="16"/>
        <v>6658</v>
      </c>
      <c r="X164" s="172">
        <f t="shared" si="17"/>
        <v>23055</v>
      </c>
      <c r="Y164" s="172"/>
    </row>
    <row r="165" spans="1:25" s="177" customFormat="1" ht="26.25" customHeight="1">
      <c r="A165" s="163">
        <v>47</v>
      </c>
      <c r="B165" s="164" t="s">
        <v>1350</v>
      </c>
      <c r="C165" s="165">
        <v>20500</v>
      </c>
      <c r="D165" s="166">
        <f t="shared" si="26"/>
        <v>20500</v>
      </c>
      <c r="E165" s="167">
        <f t="shared" si="20"/>
        <v>6663</v>
      </c>
      <c r="F165" s="166">
        <f t="shared" si="21"/>
        <v>2050</v>
      </c>
      <c r="G165" s="167">
        <v>100</v>
      </c>
      <c r="H165" s="166">
        <v>400</v>
      </c>
      <c r="I165" s="167"/>
      <c r="J165" s="174">
        <f t="shared" si="27"/>
        <v>29713</v>
      </c>
      <c r="K165" s="170">
        <v>200</v>
      </c>
      <c r="L165" s="166">
        <f>+F165</f>
        <v>2050</v>
      </c>
      <c r="M165" s="167">
        <v>0</v>
      </c>
      <c r="N165" s="166">
        <v>80</v>
      </c>
      <c r="O165" s="167"/>
      <c r="P165" s="166">
        <v>20</v>
      </c>
      <c r="Q165" s="167">
        <v>0</v>
      </c>
      <c r="R165" s="167"/>
      <c r="S165" s="170"/>
      <c r="T165" s="170"/>
      <c r="U165" s="166"/>
      <c r="V165" s="167">
        <f>550+550+556+1433+3165</f>
        <v>6254</v>
      </c>
      <c r="W165" s="175">
        <f t="shared" si="16"/>
        <v>8604</v>
      </c>
      <c r="X165" s="172">
        <f t="shared" si="17"/>
        <v>21109</v>
      </c>
      <c r="Y165" s="172"/>
    </row>
    <row r="166" spans="1:25" s="177" customFormat="1" ht="18" customHeight="1">
      <c r="A166" s="163">
        <v>48</v>
      </c>
      <c r="B166" s="164" t="s">
        <v>891</v>
      </c>
      <c r="C166" s="165">
        <v>20500</v>
      </c>
      <c r="D166" s="166">
        <f t="shared" si="26"/>
        <v>20500</v>
      </c>
      <c r="E166" s="167">
        <f t="shared" si="20"/>
        <v>6663</v>
      </c>
      <c r="F166" s="166">
        <f>ROUND(D166*10%,0)</f>
        <v>2050</v>
      </c>
      <c r="G166" s="167">
        <v>100</v>
      </c>
      <c r="H166" s="166">
        <v>400</v>
      </c>
      <c r="I166" s="167"/>
      <c r="J166" s="174">
        <f t="shared" si="27"/>
        <v>29713</v>
      </c>
      <c r="K166" s="170">
        <v>200</v>
      </c>
      <c r="L166" s="166">
        <f>+F166</f>
        <v>2050</v>
      </c>
      <c r="M166" s="167">
        <v>0</v>
      </c>
      <c r="N166" s="166">
        <v>80</v>
      </c>
      <c r="O166" s="167">
        <v>0</v>
      </c>
      <c r="P166" s="166">
        <v>20</v>
      </c>
      <c r="Q166" s="167"/>
      <c r="R166" s="167"/>
      <c r="S166" s="170"/>
      <c r="T166" s="170"/>
      <c r="U166" s="166"/>
      <c r="V166" s="167">
        <v>1597</v>
      </c>
      <c r="W166" s="175">
        <f t="shared" si="16"/>
        <v>3947</v>
      </c>
      <c r="X166" s="172">
        <f t="shared" si="17"/>
        <v>25766</v>
      </c>
      <c r="Y166" s="172"/>
    </row>
    <row r="167" spans="1:25" s="177" customFormat="1" ht="31.5" customHeight="1">
      <c r="A167" s="163">
        <v>49</v>
      </c>
      <c r="B167" s="164" t="s">
        <v>1351</v>
      </c>
      <c r="C167" s="165">
        <v>20500</v>
      </c>
      <c r="D167" s="166">
        <f t="shared" si="26"/>
        <v>20500</v>
      </c>
      <c r="E167" s="167">
        <f t="shared" si="20"/>
        <v>6663</v>
      </c>
      <c r="F167" s="166">
        <f t="shared" si="21"/>
        <v>2050</v>
      </c>
      <c r="G167" s="167">
        <v>100</v>
      </c>
      <c r="H167" s="166">
        <v>400</v>
      </c>
      <c r="I167" s="167"/>
      <c r="J167" s="174">
        <f t="shared" si="27"/>
        <v>29713</v>
      </c>
      <c r="K167" s="170">
        <v>200</v>
      </c>
      <c r="L167" s="166"/>
      <c r="M167" s="167">
        <v>0</v>
      </c>
      <c r="N167" s="166"/>
      <c r="O167" s="167"/>
      <c r="P167" s="166"/>
      <c r="Q167" s="167"/>
      <c r="R167" s="167"/>
      <c r="S167" s="170"/>
      <c r="T167" s="170"/>
      <c r="U167" s="166"/>
      <c r="V167" s="167">
        <v>4262</v>
      </c>
      <c r="W167" s="175">
        <f t="shared" si="16"/>
        <v>4462</v>
      </c>
      <c r="X167" s="172">
        <f t="shared" si="17"/>
        <v>25251</v>
      </c>
      <c r="Y167" s="172"/>
    </row>
    <row r="168" spans="1:25" s="177" customFormat="1" ht="39" customHeight="1">
      <c r="A168" s="163">
        <v>50</v>
      </c>
      <c r="B168" s="164" t="s">
        <v>1562</v>
      </c>
      <c r="C168" s="165">
        <v>20500</v>
      </c>
      <c r="D168" s="166">
        <f>ROUND(C168*21/31,0)</f>
        <v>13887</v>
      </c>
      <c r="E168" s="167">
        <f t="shared" si="20"/>
        <v>4513</v>
      </c>
      <c r="F168" s="166">
        <f t="shared" si="21"/>
        <v>1389</v>
      </c>
      <c r="G168" s="167">
        <f>ROUND(100*21/31,0)</f>
        <v>68</v>
      </c>
      <c r="H168" s="166">
        <f>ROUND(400*21/31,0)</f>
        <v>271</v>
      </c>
      <c r="I168" s="167"/>
      <c r="J168" s="174">
        <f t="shared" si="27"/>
        <v>20128</v>
      </c>
      <c r="K168" s="170">
        <v>200</v>
      </c>
      <c r="L168" s="166">
        <f>+F168</f>
        <v>1389</v>
      </c>
      <c r="M168" s="167">
        <v>0</v>
      </c>
      <c r="N168" s="166">
        <v>80</v>
      </c>
      <c r="O168" s="167"/>
      <c r="P168" s="166">
        <v>20</v>
      </c>
      <c r="Q168" s="167"/>
      <c r="R168" s="167"/>
      <c r="S168" s="170"/>
      <c r="T168" s="170"/>
      <c r="U168" s="166"/>
      <c r="V168" s="167">
        <f>746+2031</f>
        <v>2777</v>
      </c>
      <c r="W168" s="175">
        <f t="shared" si="16"/>
        <v>4466</v>
      </c>
      <c r="X168" s="172">
        <f t="shared" si="17"/>
        <v>15662</v>
      </c>
      <c r="Y168" s="172"/>
    </row>
    <row r="169" spans="1:25" s="177" customFormat="1" ht="24.75" customHeight="1">
      <c r="A169" s="163">
        <v>51</v>
      </c>
      <c r="B169" s="164" t="s">
        <v>752</v>
      </c>
      <c r="C169" s="165">
        <v>20500</v>
      </c>
      <c r="D169" s="166">
        <f t="shared" si="26"/>
        <v>20500</v>
      </c>
      <c r="E169" s="167">
        <f t="shared" si="20"/>
        <v>6663</v>
      </c>
      <c r="F169" s="166">
        <f>ROUND(D169*10%,0)</f>
        <v>2050</v>
      </c>
      <c r="G169" s="167">
        <v>100</v>
      </c>
      <c r="H169" s="166">
        <v>400</v>
      </c>
      <c r="I169" s="167"/>
      <c r="J169" s="174">
        <f t="shared" si="27"/>
        <v>29713</v>
      </c>
      <c r="K169" s="170">
        <v>200</v>
      </c>
      <c r="L169" s="166"/>
      <c r="M169" s="167">
        <v>0</v>
      </c>
      <c r="N169" s="166"/>
      <c r="O169" s="167"/>
      <c r="P169" s="166"/>
      <c r="Q169" s="167"/>
      <c r="R169" s="167"/>
      <c r="S169" s="170"/>
      <c r="T169" s="170"/>
      <c r="U169" s="166"/>
      <c r="V169" s="167">
        <f>2190+3119</f>
        <v>5309</v>
      </c>
      <c r="W169" s="175">
        <f aca="true" t="shared" si="28" ref="W169:W222">SUM(K169:V169)</f>
        <v>5509</v>
      </c>
      <c r="X169" s="172">
        <f t="shared" si="17"/>
        <v>24204</v>
      </c>
      <c r="Y169" s="172"/>
    </row>
    <row r="170" spans="1:25" ht="15">
      <c r="A170" s="163"/>
      <c r="B170" s="183" t="s">
        <v>9</v>
      </c>
      <c r="C170" s="180"/>
      <c r="D170" s="169"/>
      <c r="E170" s="168"/>
      <c r="F170" s="169"/>
      <c r="G170" s="168"/>
      <c r="H170" s="169"/>
      <c r="I170" s="168"/>
      <c r="J170" s="174">
        <f t="shared" si="27"/>
        <v>0</v>
      </c>
      <c r="K170" s="170"/>
      <c r="L170" s="166"/>
      <c r="M170" s="167"/>
      <c r="N170" s="166"/>
      <c r="O170" s="167"/>
      <c r="P170" s="166"/>
      <c r="Q170" s="167"/>
      <c r="R170" s="167"/>
      <c r="S170" s="170"/>
      <c r="T170" s="170"/>
      <c r="U170" s="166"/>
      <c r="V170" s="167"/>
      <c r="W170" s="175">
        <f t="shared" si="28"/>
        <v>0</v>
      </c>
      <c r="X170" s="172">
        <f t="shared" si="17"/>
        <v>0</v>
      </c>
      <c r="Y170" s="173"/>
    </row>
    <row r="171" spans="1:25" s="177" customFormat="1" ht="27.75" customHeight="1">
      <c r="A171" s="163">
        <v>52</v>
      </c>
      <c r="B171" s="164" t="s">
        <v>1458</v>
      </c>
      <c r="C171" s="165">
        <v>21000</v>
      </c>
      <c r="D171" s="166">
        <f>C171</f>
        <v>21000</v>
      </c>
      <c r="E171" s="167">
        <f t="shared" si="20"/>
        <v>6825</v>
      </c>
      <c r="F171" s="166">
        <f>ROUND(D171*10%,0)</f>
        <v>2100</v>
      </c>
      <c r="G171" s="167">
        <v>100</v>
      </c>
      <c r="H171" s="166">
        <v>400</v>
      </c>
      <c r="I171" s="167"/>
      <c r="J171" s="174">
        <f t="shared" si="27"/>
        <v>30425</v>
      </c>
      <c r="K171" s="170">
        <v>200</v>
      </c>
      <c r="L171" s="166">
        <f>F171</f>
        <v>2100</v>
      </c>
      <c r="M171" s="167">
        <v>0</v>
      </c>
      <c r="N171" s="166"/>
      <c r="O171" s="167">
        <v>0</v>
      </c>
      <c r="P171" s="166"/>
      <c r="Q171" s="167">
        <v>500</v>
      </c>
      <c r="R171" s="167"/>
      <c r="S171" s="170"/>
      <c r="T171" s="170"/>
      <c r="U171" s="166"/>
      <c r="V171" s="167">
        <v>3915</v>
      </c>
      <c r="W171" s="175">
        <f t="shared" si="28"/>
        <v>6715</v>
      </c>
      <c r="X171" s="172">
        <f t="shared" si="17"/>
        <v>23710</v>
      </c>
      <c r="Y171" s="172"/>
    </row>
    <row r="172" spans="1:25" s="177" customFormat="1" ht="27" customHeight="1">
      <c r="A172" s="163">
        <v>53</v>
      </c>
      <c r="B172" s="164" t="s">
        <v>1459</v>
      </c>
      <c r="C172" s="165">
        <v>21000</v>
      </c>
      <c r="D172" s="166">
        <f>C172</f>
        <v>21000</v>
      </c>
      <c r="E172" s="167">
        <f t="shared" si="20"/>
        <v>6825</v>
      </c>
      <c r="F172" s="166">
        <f>ROUND(D172*10%,0)</f>
        <v>2100</v>
      </c>
      <c r="G172" s="167">
        <v>100</v>
      </c>
      <c r="H172" s="166">
        <v>400</v>
      </c>
      <c r="I172" s="167"/>
      <c r="J172" s="174">
        <f t="shared" si="27"/>
        <v>30425</v>
      </c>
      <c r="K172" s="170">
        <v>200</v>
      </c>
      <c r="L172" s="166">
        <f>F172</f>
        <v>2100</v>
      </c>
      <c r="M172" s="167">
        <v>0</v>
      </c>
      <c r="N172" s="166"/>
      <c r="O172" s="167"/>
      <c r="P172" s="166"/>
      <c r="Q172" s="167">
        <v>500</v>
      </c>
      <c r="R172" s="167"/>
      <c r="S172" s="170"/>
      <c r="T172" s="170"/>
      <c r="U172" s="166"/>
      <c r="V172" s="167">
        <f>1021+1406</f>
        <v>2427</v>
      </c>
      <c r="W172" s="175">
        <f t="shared" si="28"/>
        <v>5227</v>
      </c>
      <c r="X172" s="172">
        <f t="shared" si="17"/>
        <v>25198</v>
      </c>
      <c r="Y172" s="172"/>
    </row>
    <row r="173" spans="1:25" s="177" customFormat="1" ht="27" customHeight="1">
      <c r="A173" s="163">
        <v>54</v>
      </c>
      <c r="B173" s="164" t="s">
        <v>1460</v>
      </c>
      <c r="C173" s="165">
        <v>21000</v>
      </c>
      <c r="D173" s="166">
        <f>C173</f>
        <v>21000</v>
      </c>
      <c r="E173" s="167">
        <f t="shared" si="20"/>
        <v>6825</v>
      </c>
      <c r="F173" s="166">
        <f>ROUND(D173*10%,0)</f>
        <v>2100</v>
      </c>
      <c r="G173" s="167">
        <v>100</v>
      </c>
      <c r="H173" s="166">
        <v>400</v>
      </c>
      <c r="I173" s="167"/>
      <c r="J173" s="174">
        <f t="shared" si="27"/>
        <v>30425</v>
      </c>
      <c r="K173" s="170">
        <v>200</v>
      </c>
      <c r="L173" s="166">
        <f>F173</f>
        <v>2100</v>
      </c>
      <c r="M173" s="167">
        <v>0</v>
      </c>
      <c r="N173" s="166"/>
      <c r="O173" s="167">
        <v>0</v>
      </c>
      <c r="P173" s="166"/>
      <c r="Q173" s="167">
        <v>500</v>
      </c>
      <c r="R173" s="167"/>
      <c r="S173" s="170"/>
      <c r="T173" s="170"/>
      <c r="U173" s="166"/>
      <c r="V173" s="167">
        <f>1890+2769</f>
        <v>4659</v>
      </c>
      <c r="W173" s="175">
        <f t="shared" si="28"/>
        <v>7459</v>
      </c>
      <c r="X173" s="172">
        <f t="shared" si="17"/>
        <v>22966</v>
      </c>
      <c r="Y173" s="172"/>
    </row>
    <row r="174" spans="1:25" s="177" customFormat="1" ht="15">
      <c r="A174" s="178"/>
      <c r="B174" s="179" t="s">
        <v>2</v>
      </c>
      <c r="C174" s="180"/>
      <c r="D174" s="166"/>
      <c r="E174" s="167"/>
      <c r="F174" s="166"/>
      <c r="G174" s="167"/>
      <c r="H174" s="166"/>
      <c r="I174" s="167"/>
      <c r="J174" s="174">
        <f t="shared" si="27"/>
        <v>0</v>
      </c>
      <c r="K174" s="170"/>
      <c r="L174" s="166"/>
      <c r="M174" s="167"/>
      <c r="N174" s="166"/>
      <c r="O174" s="167"/>
      <c r="P174" s="166"/>
      <c r="Q174" s="167"/>
      <c r="R174" s="167"/>
      <c r="S174" s="170"/>
      <c r="T174" s="170"/>
      <c r="U174" s="166"/>
      <c r="V174" s="167"/>
      <c r="W174" s="175">
        <f t="shared" si="28"/>
        <v>0</v>
      </c>
      <c r="X174" s="172">
        <f t="shared" si="17"/>
        <v>0</v>
      </c>
      <c r="Y174" s="172"/>
    </row>
    <row r="175" spans="1:25" s="177" customFormat="1" ht="57" customHeight="1">
      <c r="A175" s="163">
        <v>55</v>
      </c>
      <c r="B175" s="164" t="s">
        <v>1547</v>
      </c>
      <c r="C175" s="165">
        <v>10000</v>
      </c>
      <c r="D175" s="166">
        <f>ROUND(C175*28/31,0)</f>
        <v>9032</v>
      </c>
      <c r="E175" s="167"/>
      <c r="F175" s="166"/>
      <c r="G175" s="167"/>
      <c r="H175" s="166"/>
      <c r="I175" s="167"/>
      <c r="J175" s="174">
        <f t="shared" si="27"/>
        <v>9032</v>
      </c>
      <c r="K175" s="170">
        <v>0</v>
      </c>
      <c r="L175" s="166"/>
      <c r="M175" s="167">
        <v>0</v>
      </c>
      <c r="N175" s="166"/>
      <c r="O175" s="167"/>
      <c r="P175" s="166"/>
      <c r="Q175" s="167"/>
      <c r="R175" s="167"/>
      <c r="S175" s="170"/>
      <c r="T175" s="170"/>
      <c r="U175" s="166"/>
      <c r="V175" s="167"/>
      <c r="W175" s="175">
        <f t="shared" si="28"/>
        <v>0</v>
      </c>
      <c r="X175" s="172">
        <f t="shared" si="17"/>
        <v>9032</v>
      </c>
      <c r="Y175" s="172"/>
    </row>
    <row r="176" spans="1:25" s="177" customFormat="1" ht="15">
      <c r="A176" s="163"/>
      <c r="B176" s="179" t="s">
        <v>1140</v>
      </c>
      <c r="C176" s="165"/>
      <c r="D176" s="166"/>
      <c r="E176" s="167"/>
      <c r="F176" s="166"/>
      <c r="G176" s="167"/>
      <c r="H176" s="166"/>
      <c r="I176" s="167"/>
      <c r="J176" s="174"/>
      <c r="K176" s="170"/>
      <c r="L176" s="166"/>
      <c r="M176" s="167"/>
      <c r="N176" s="166"/>
      <c r="O176" s="167"/>
      <c r="P176" s="166"/>
      <c r="Q176" s="167"/>
      <c r="R176" s="167"/>
      <c r="S176" s="170"/>
      <c r="T176" s="170"/>
      <c r="U176" s="166"/>
      <c r="V176" s="167"/>
      <c r="W176" s="175"/>
      <c r="X176" s="172"/>
      <c r="Y176" s="172"/>
    </row>
    <row r="177" spans="1:25" s="177" customFormat="1" ht="54">
      <c r="A177" s="163">
        <v>1</v>
      </c>
      <c r="B177" s="164" t="s">
        <v>1352</v>
      </c>
      <c r="C177" s="165">
        <v>8000</v>
      </c>
      <c r="D177" s="313">
        <f>C177</f>
        <v>8000</v>
      </c>
      <c r="E177" s="167"/>
      <c r="F177" s="166"/>
      <c r="G177" s="167"/>
      <c r="H177" s="166"/>
      <c r="I177" s="167"/>
      <c r="J177" s="174">
        <f t="shared" si="27"/>
        <v>8000</v>
      </c>
      <c r="K177" s="170"/>
      <c r="L177" s="166"/>
      <c r="M177" s="167"/>
      <c r="N177" s="166"/>
      <c r="O177" s="167"/>
      <c r="P177" s="166"/>
      <c r="Q177" s="167"/>
      <c r="R177" s="167"/>
      <c r="S177" s="185">
        <f aca="true" t="shared" si="29" ref="S177:S230">ROUND(J177*12/100,0)</f>
        <v>960</v>
      </c>
      <c r="T177" s="185"/>
      <c r="U177" s="166"/>
      <c r="V177" s="167"/>
      <c r="W177" s="175">
        <f t="shared" si="28"/>
        <v>960</v>
      </c>
      <c r="X177" s="172">
        <f aca="true" t="shared" si="30" ref="X177:X230">J177-W177</f>
        <v>7040</v>
      </c>
      <c r="Y177" s="172">
        <f aca="true" t="shared" si="31" ref="Y177:Y230">ROUND(J177*13.61/100,0)</f>
        <v>1089</v>
      </c>
    </row>
    <row r="178" spans="1:25" s="177" customFormat="1" ht="54">
      <c r="A178" s="163">
        <v>2</v>
      </c>
      <c r="B178" s="164" t="s">
        <v>1281</v>
      </c>
      <c r="C178" s="165">
        <v>8000</v>
      </c>
      <c r="D178" s="313">
        <f aca="true" t="shared" si="32" ref="D178:D231">C178</f>
        <v>8000</v>
      </c>
      <c r="E178" s="167"/>
      <c r="F178" s="166"/>
      <c r="G178" s="167"/>
      <c r="H178" s="166"/>
      <c r="I178" s="167"/>
      <c r="J178" s="174">
        <f t="shared" si="27"/>
        <v>8000</v>
      </c>
      <c r="K178" s="170"/>
      <c r="L178" s="166"/>
      <c r="M178" s="167"/>
      <c r="N178" s="166"/>
      <c r="O178" s="167"/>
      <c r="P178" s="166"/>
      <c r="Q178" s="167"/>
      <c r="R178" s="167"/>
      <c r="S178" s="185">
        <f t="shared" si="29"/>
        <v>960</v>
      </c>
      <c r="T178" s="185"/>
      <c r="U178" s="166"/>
      <c r="V178" s="167"/>
      <c r="W178" s="175">
        <f t="shared" si="28"/>
        <v>960</v>
      </c>
      <c r="X178" s="172">
        <f t="shared" si="30"/>
        <v>7040</v>
      </c>
      <c r="Y178" s="172">
        <f t="shared" si="31"/>
        <v>1089</v>
      </c>
    </row>
    <row r="179" spans="1:25" s="177" customFormat="1" ht="67.5">
      <c r="A179" s="163">
        <v>3</v>
      </c>
      <c r="B179" s="164" t="s">
        <v>1282</v>
      </c>
      <c r="C179" s="165">
        <v>8000</v>
      </c>
      <c r="D179" s="313">
        <f t="shared" si="32"/>
        <v>8000</v>
      </c>
      <c r="E179" s="167"/>
      <c r="F179" s="166"/>
      <c r="G179" s="167"/>
      <c r="H179" s="166"/>
      <c r="I179" s="167"/>
      <c r="J179" s="174">
        <f t="shared" si="27"/>
        <v>8000</v>
      </c>
      <c r="K179" s="170"/>
      <c r="L179" s="166"/>
      <c r="M179" s="167"/>
      <c r="N179" s="166"/>
      <c r="O179" s="167"/>
      <c r="P179" s="166"/>
      <c r="Q179" s="167"/>
      <c r="R179" s="167"/>
      <c r="S179" s="185">
        <f t="shared" si="29"/>
        <v>960</v>
      </c>
      <c r="T179" s="185"/>
      <c r="U179" s="166"/>
      <c r="V179" s="167"/>
      <c r="W179" s="175">
        <f t="shared" si="28"/>
        <v>960</v>
      </c>
      <c r="X179" s="172">
        <f t="shared" si="30"/>
        <v>7040</v>
      </c>
      <c r="Y179" s="172">
        <f t="shared" si="31"/>
        <v>1089</v>
      </c>
    </row>
    <row r="180" spans="1:25" s="177" customFormat="1" ht="54">
      <c r="A180" s="163">
        <v>4</v>
      </c>
      <c r="B180" s="164" t="s">
        <v>1283</v>
      </c>
      <c r="C180" s="165">
        <v>8000</v>
      </c>
      <c r="D180" s="313">
        <f t="shared" si="32"/>
        <v>8000</v>
      </c>
      <c r="E180" s="167"/>
      <c r="F180" s="166"/>
      <c r="G180" s="167"/>
      <c r="H180" s="166"/>
      <c r="I180" s="167"/>
      <c r="J180" s="174">
        <f t="shared" si="27"/>
        <v>8000</v>
      </c>
      <c r="K180" s="170"/>
      <c r="L180" s="166"/>
      <c r="M180" s="167"/>
      <c r="N180" s="166"/>
      <c r="O180" s="167"/>
      <c r="P180" s="166"/>
      <c r="Q180" s="167"/>
      <c r="R180" s="167"/>
      <c r="S180" s="185">
        <f t="shared" si="29"/>
        <v>960</v>
      </c>
      <c r="T180" s="185"/>
      <c r="U180" s="166"/>
      <c r="V180" s="167"/>
      <c r="W180" s="175">
        <f t="shared" si="28"/>
        <v>960</v>
      </c>
      <c r="X180" s="172">
        <f t="shared" si="30"/>
        <v>7040</v>
      </c>
      <c r="Y180" s="172">
        <f t="shared" si="31"/>
        <v>1089</v>
      </c>
    </row>
    <row r="181" spans="1:25" s="177" customFormat="1" ht="54">
      <c r="A181" s="163">
        <v>5</v>
      </c>
      <c r="B181" s="164" t="s">
        <v>1353</v>
      </c>
      <c r="C181" s="165">
        <v>8000</v>
      </c>
      <c r="D181" s="313">
        <f t="shared" si="32"/>
        <v>8000</v>
      </c>
      <c r="E181" s="167"/>
      <c r="F181" s="166"/>
      <c r="G181" s="167"/>
      <c r="H181" s="166"/>
      <c r="I181" s="167"/>
      <c r="J181" s="174">
        <f t="shared" si="27"/>
        <v>8000</v>
      </c>
      <c r="K181" s="170"/>
      <c r="L181" s="166"/>
      <c r="M181" s="167"/>
      <c r="N181" s="166"/>
      <c r="O181" s="167"/>
      <c r="P181" s="166"/>
      <c r="Q181" s="167"/>
      <c r="R181" s="167"/>
      <c r="S181" s="185">
        <f t="shared" si="29"/>
        <v>960</v>
      </c>
      <c r="T181" s="185"/>
      <c r="U181" s="166"/>
      <c r="V181" s="167"/>
      <c r="W181" s="175">
        <f t="shared" si="28"/>
        <v>960</v>
      </c>
      <c r="X181" s="172">
        <f t="shared" si="30"/>
        <v>7040</v>
      </c>
      <c r="Y181" s="172">
        <f t="shared" si="31"/>
        <v>1089</v>
      </c>
    </row>
    <row r="182" spans="1:25" s="177" customFormat="1" ht="54">
      <c r="A182" s="163">
        <v>6</v>
      </c>
      <c r="B182" s="164" t="s">
        <v>1284</v>
      </c>
      <c r="C182" s="165">
        <v>8000</v>
      </c>
      <c r="D182" s="313">
        <f t="shared" si="32"/>
        <v>8000</v>
      </c>
      <c r="E182" s="167"/>
      <c r="F182" s="166"/>
      <c r="G182" s="167"/>
      <c r="H182" s="166"/>
      <c r="I182" s="167"/>
      <c r="J182" s="174">
        <f t="shared" si="27"/>
        <v>8000</v>
      </c>
      <c r="K182" s="170"/>
      <c r="L182" s="166">
        <v>800</v>
      </c>
      <c r="M182" s="167"/>
      <c r="N182" s="166"/>
      <c r="O182" s="167"/>
      <c r="P182" s="166"/>
      <c r="Q182" s="167"/>
      <c r="R182" s="167"/>
      <c r="S182" s="185">
        <f t="shared" si="29"/>
        <v>960</v>
      </c>
      <c r="T182" s="185"/>
      <c r="U182" s="166"/>
      <c r="V182" s="167"/>
      <c r="W182" s="175">
        <f t="shared" si="28"/>
        <v>1760</v>
      </c>
      <c r="X182" s="172">
        <f t="shared" si="30"/>
        <v>6240</v>
      </c>
      <c r="Y182" s="172">
        <f t="shared" si="31"/>
        <v>1089</v>
      </c>
    </row>
    <row r="183" spans="1:25" s="177" customFormat="1" ht="54">
      <c r="A183" s="163">
        <v>7</v>
      </c>
      <c r="B183" s="164" t="s">
        <v>1354</v>
      </c>
      <c r="C183" s="165">
        <v>8000</v>
      </c>
      <c r="D183" s="313">
        <f t="shared" si="32"/>
        <v>8000</v>
      </c>
      <c r="E183" s="167"/>
      <c r="F183" s="166"/>
      <c r="G183" s="167"/>
      <c r="H183" s="166"/>
      <c r="I183" s="167"/>
      <c r="J183" s="174">
        <f t="shared" si="27"/>
        <v>8000</v>
      </c>
      <c r="K183" s="170"/>
      <c r="L183" s="166">
        <v>800</v>
      </c>
      <c r="M183" s="167"/>
      <c r="N183" s="166"/>
      <c r="O183" s="167"/>
      <c r="P183" s="166"/>
      <c r="Q183" s="167"/>
      <c r="R183" s="167"/>
      <c r="S183" s="185">
        <f t="shared" si="29"/>
        <v>960</v>
      </c>
      <c r="T183" s="185"/>
      <c r="U183" s="166"/>
      <c r="V183" s="167"/>
      <c r="W183" s="175">
        <f t="shared" si="28"/>
        <v>1760</v>
      </c>
      <c r="X183" s="172">
        <f t="shared" si="30"/>
        <v>6240</v>
      </c>
      <c r="Y183" s="172">
        <f t="shared" si="31"/>
        <v>1089</v>
      </c>
    </row>
    <row r="184" spans="1:25" s="177" customFormat="1" ht="67.5">
      <c r="A184" s="163">
        <v>8</v>
      </c>
      <c r="B184" s="164" t="s">
        <v>1565</v>
      </c>
      <c r="C184" s="165">
        <v>8000</v>
      </c>
      <c r="D184" s="313">
        <f>ROUND(C184*18/31,0)</f>
        <v>4645</v>
      </c>
      <c r="E184" s="167"/>
      <c r="F184" s="166"/>
      <c r="G184" s="167"/>
      <c r="H184" s="166"/>
      <c r="I184" s="167"/>
      <c r="J184" s="174">
        <f t="shared" si="27"/>
        <v>4645</v>
      </c>
      <c r="K184" s="170"/>
      <c r="L184" s="166"/>
      <c r="M184" s="167"/>
      <c r="N184" s="166"/>
      <c r="O184" s="167"/>
      <c r="P184" s="166"/>
      <c r="Q184" s="167"/>
      <c r="R184" s="167"/>
      <c r="S184" s="185">
        <f t="shared" si="29"/>
        <v>557</v>
      </c>
      <c r="T184" s="185"/>
      <c r="U184" s="166"/>
      <c r="V184" s="167"/>
      <c r="W184" s="175">
        <f t="shared" si="28"/>
        <v>557</v>
      </c>
      <c r="X184" s="172">
        <f t="shared" si="30"/>
        <v>4088</v>
      </c>
      <c r="Y184" s="172">
        <f t="shared" si="31"/>
        <v>632</v>
      </c>
    </row>
    <row r="185" spans="1:25" s="177" customFormat="1" ht="54">
      <c r="A185" s="163">
        <v>9</v>
      </c>
      <c r="B185" s="164" t="s">
        <v>1412</v>
      </c>
      <c r="C185" s="165">
        <v>8000</v>
      </c>
      <c r="D185" s="313">
        <v>0</v>
      </c>
      <c r="E185" s="167"/>
      <c r="F185" s="166"/>
      <c r="G185" s="167"/>
      <c r="H185" s="166"/>
      <c r="I185" s="167"/>
      <c r="J185" s="174">
        <f t="shared" si="27"/>
        <v>0</v>
      </c>
      <c r="K185" s="170"/>
      <c r="L185" s="166"/>
      <c r="M185" s="167"/>
      <c r="N185" s="166"/>
      <c r="O185" s="167"/>
      <c r="P185" s="166"/>
      <c r="Q185" s="167"/>
      <c r="R185" s="167"/>
      <c r="S185" s="185">
        <f t="shared" si="29"/>
        <v>0</v>
      </c>
      <c r="T185" s="185"/>
      <c r="U185" s="166"/>
      <c r="V185" s="167"/>
      <c r="W185" s="175">
        <f t="shared" si="28"/>
        <v>0</v>
      </c>
      <c r="X185" s="172">
        <f t="shared" si="30"/>
        <v>0</v>
      </c>
      <c r="Y185" s="172">
        <f t="shared" si="31"/>
        <v>0</v>
      </c>
    </row>
    <row r="186" spans="1:25" s="177" customFormat="1" ht="67.5">
      <c r="A186" s="163">
        <v>10</v>
      </c>
      <c r="B186" s="164" t="s">
        <v>1566</v>
      </c>
      <c r="C186" s="165">
        <v>8000</v>
      </c>
      <c r="D186" s="313">
        <f>ROUND(C186*29/31,0)</f>
        <v>7484</v>
      </c>
      <c r="E186" s="167"/>
      <c r="F186" s="166"/>
      <c r="G186" s="167"/>
      <c r="H186" s="166"/>
      <c r="I186" s="167"/>
      <c r="J186" s="174">
        <f t="shared" si="27"/>
        <v>7484</v>
      </c>
      <c r="K186" s="170"/>
      <c r="L186" s="166"/>
      <c r="M186" s="167"/>
      <c r="N186" s="166"/>
      <c r="O186" s="167"/>
      <c r="P186" s="166"/>
      <c r="Q186" s="167"/>
      <c r="R186" s="167"/>
      <c r="S186" s="185">
        <f t="shared" si="29"/>
        <v>898</v>
      </c>
      <c r="T186" s="185"/>
      <c r="U186" s="166"/>
      <c r="V186" s="167"/>
      <c r="W186" s="175">
        <f t="shared" si="28"/>
        <v>898</v>
      </c>
      <c r="X186" s="172">
        <f t="shared" si="30"/>
        <v>6586</v>
      </c>
      <c r="Y186" s="172">
        <f t="shared" si="31"/>
        <v>1019</v>
      </c>
    </row>
    <row r="187" spans="1:25" s="177" customFormat="1" ht="54">
      <c r="A187" s="163">
        <v>11</v>
      </c>
      <c r="B187" s="164" t="s">
        <v>1211</v>
      </c>
      <c r="C187" s="165">
        <v>8000</v>
      </c>
      <c r="D187" s="313">
        <f t="shared" si="32"/>
        <v>8000</v>
      </c>
      <c r="E187" s="167"/>
      <c r="F187" s="166"/>
      <c r="G187" s="167"/>
      <c r="H187" s="166"/>
      <c r="I187" s="167"/>
      <c r="J187" s="174">
        <f t="shared" si="27"/>
        <v>8000</v>
      </c>
      <c r="K187" s="170"/>
      <c r="L187" s="166"/>
      <c r="M187" s="167"/>
      <c r="N187" s="166"/>
      <c r="O187" s="167"/>
      <c r="P187" s="166"/>
      <c r="Q187" s="167"/>
      <c r="R187" s="167"/>
      <c r="S187" s="185">
        <f t="shared" si="29"/>
        <v>960</v>
      </c>
      <c r="T187" s="185"/>
      <c r="U187" s="166"/>
      <c r="V187" s="167"/>
      <c r="W187" s="175">
        <f t="shared" si="28"/>
        <v>960</v>
      </c>
      <c r="X187" s="172">
        <f t="shared" si="30"/>
        <v>7040</v>
      </c>
      <c r="Y187" s="172">
        <f t="shared" si="31"/>
        <v>1089</v>
      </c>
    </row>
    <row r="188" spans="1:25" s="177" customFormat="1" ht="54">
      <c r="A188" s="163">
        <v>12</v>
      </c>
      <c r="B188" s="164" t="s">
        <v>1355</v>
      </c>
      <c r="C188" s="165">
        <v>8000</v>
      </c>
      <c r="D188" s="313">
        <f t="shared" si="32"/>
        <v>8000</v>
      </c>
      <c r="E188" s="167"/>
      <c r="F188" s="166"/>
      <c r="G188" s="167"/>
      <c r="H188" s="166"/>
      <c r="I188" s="167"/>
      <c r="J188" s="174">
        <f t="shared" si="27"/>
        <v>8000</v>
      </c>
      <c r="K188" s="170"/>
      <c r="L188" s="166"/>
      <c r="M188" s="167"/>
      <c r="N188" s="166"/>
      <c r="O188" s="167"/>
      <c r="P188" s="166"/>
      <c r="Q188" s="167"/>
      <c r="R188" s="167"/>
      <c r="S188" s="185">
        <f t="shared" si="29"/>
        <v>960</v>
      </c>
      <c r="T188" s="185"/>
      <c r="U188" s="166"/>
      <c r="V188" s="167"/>
      <c r="W188" s="175">
        <f t="shared" si="28"/>
        <v>960</v>
      </c>
      <c r="X188" s="172">
        <f t="shared" si="30"/>
        <v>7040</v>
      </c>
      <c r="Y188" s="172">
        <f t="shared" si="31"/>
        <v>1089</v>
      </c>
    </row>
    <row r="189" spans="1:25" s="177" customFormat="1" ht="54">
      <c r="A189" s="163">
        <v>13</v>
      </c>
      <c r="B189" s="164" t="s">
        <v>1212</v>
      </c>
      <c r="C189" s="165">
        <v>8000</v>
      </c>
      <c r="D189" s="313">
        <f t="shared" si="32"/>
        <v>8000</v>
      </c>
      <c r="E189" s="167"/>
      <c r="F189" s="166"/>
      <c r="G189" s="167"/>
      <c r="H189" s="166"/>
      <c r="I189" s="167"/>
      <c r="J189" s="174">
        <f t="shared" si="27"/>
        <v>8000</v>
      </c>
      <c r="K189" s="170"/>
      <c r="L189" s="166"/>
      <c r="M189" s="167"/>
      <c r="N189" s="166"/>
      <c r="O189" s="167"/>
      <c r="P189" s="166"/>
      <c r="Q189" s="167"/>
      <c r="R189" s="167"/>
      <c r="S189" s="185">
        <f t="shared" si="29"/>
        <v>960</v>
      </c>
      <c r="T189" s="185"/>
      <c r="U189" s="166"/>
      <c r="V189" s="167"/>
      <c r="W189" s="175">
        <f t="shared" si="28"/>
        <v>960</v>
      </c>
      <c r="X189" s="172">
        <f t="shared" si="30"/>
        <v>7040</v>
      </c>
      <c r="Y189" s="172">
        <f t="shared" si="31"/>
        <v>1089</v>
      </c>
    </row>
    <row r="190" spans="1:25" s="177" customFormat="1" ht="67.5">
      <c r="A190" s="163">
        <v>14</v>
      </c>
      <c r="B190" s="164" t="s">
        <v>1494</v>
      </c>
      <c r="C190" s="165">
        <v>8000</v>
      </c>
      <c r="D190" s="313">
        <f t="shared" si="32"/>
        <v>8000</v>
      </c>
      <c r="E190" s="167"/>
      <c r="F190" s="166"/>
      <c r="G190" s="167"/>
      <c r="H190" s="166"/>
      <c r="I190" s="167">
        <f>ROUND(8000*5/31,0)</f>
        <v>1290</v>
      </c>
      <c r="J190" s="174">
        <f t="shared" si="27"/>
        <v>9290</v>
      </c>
      <c r="K190" s="170"/>
      <c r="L190" s="166"/>
      <c r="M190" s="167"/>
      <c r="N190" s="166"/>
      <c r="O190" s="167"/>
      <c r="P190" s="166"/>
      <c r="Q190" s="167"/>
      <c r="R190" s="167"/>
      <c r="S190" s="185">
        <f t="shared" si="29"/>
        <v>1115</v>
      </c>
      <c r="T190" s="185"/>
      <c r="U190" s="166"/>
      <c r="V190" s="167"/>
      <c r="W190" s="175">
        <f t="shared" si="28"/>
        <v>1115</v>
      </c>
      <c r="X190" s="172">
        <f t="shared" si="30"/>
        <v>8175</v>
      </c>
      <c r="Y190" s="172">
        <f t="shared" si="31"/>
        <v>1264</v>
      </c>
    </row>
    <row r="191" spans="1:25" s="177" customFormat="1" ht="54">
      <c r="A191" s="163">
        <v>15</v>
      </c>
      <c r="B191" s="164" t="s">
        <v>1434</v>
      </c>
      <c r="C191" s="165">
        <v>8000</v>
      </c>
      <c r="D191" s="313">
        <f t="shared" si="32"/>
        <v>8000</v>
      </c>
      <c r="E191" s="167"/>
      <c r="F191" s="166"/>
      <c r="G191" s="167"/>
      <c r="H191" s="166"/>
      <c r="I191" s="167"/>
      <c r="J191" s="174">
        <f t="shared" si="27"/>
        <v>8000</v>
      </c>
      <c r="K191" s="170"/>
      <c r="L191" s="166"/>
      <c r="M191" s="167"/>
      <c r="N191" s="166"/>
      <c r="O191" s="167"/>
      <c r="P191" s="166"/>
      <c r="Q191" s="167"/>
      <c r="R191" s="167"/>
      <c r="S191" s="185">
        <f t="shared" si="29"/>
        <v>960</v>
      </c>
      <c r="T191" s="185"/>
      <c r="U191" s="166"/>
      <c r="V191" s="167"/>
      <c r="W191" s="175">
        <f t="shared" si="28"/>
        <v>960</v>
      </c>
      <c r="X191" s="172">
        <f t="shared" si="30"/>
        <v>7040</v>
      </c>
      <c r="Y191" s="172">
        <f t="shared" si="31"/>
        <v>1089</v>
      </c>
    </row>
    <row r="192" spans="1:25" s="177" customFormat="1" ht="54">
      <c r="A192" s="163">
        <v>16</v>
      </c>
      <c r="B192" s="164" t="s">
        <v>1213</v>
      </c>
      <c r="C192" s="165">
        <v>8000</v>
      </c>
      <c r="D192" s="313">
        <f t="shared" si="32"/>
        <v>8000</v>
      </c>
      <c r="E192" s="167"/>
      <c r="F192" s="166"/>
      <c r="G192" s="167"/>
      <c r="H192" s="166"/>
      <c r="I192" s="167"/>
      <c r="J192" s="174">
        <f t="shared" si="27"/>
        <v>8000</v>
      </c>
      <c r="K192" s="170"/>
      <c r="L192" s="166"/>
      <c r="M192" s="167"/>
      <c r="N192" s="166"/>
      <c r="O192" s="167"/>
      <c r="P192" s="166"/>
      <c r="Q192" s="167"/>
      <c r="R192" s="167"/>
      <c r="S192" s="185">
        <f t="shared" si="29"/>
        <v>960</v>
      </c>
      <c r="T192" s="185"/>
      <c r="U192" s="166"/>
      <c r="V192" s="167"/>
      <c r="W192" s="175">
        <f t="shared" si="28"/>
        <v>960</v>
      </c>
      <c r="X192" s="172">
        <f t="shared" si="30"/>
        <v>7040</v>
      </c>
      <c r="Y192" s="172">
        <f t="shared" si="31"/>
        <v>1089</v>
      </c>
    </row>
    <row r="193" spans="1:25" s="177" customFormat="1" ht="69.75" customHeight="1">
      <c r="A193" s="163">
        <v>17</v>
      </c>
      <c r="B193" s="164" t="s">
        <v>1214</v>
      </c>
      <c r="C193" s="165">
        <v>8000</v>
      </c>
      <c r="D193" s="313">
        <f t="shared" si="32"/>
        <v>8000</v>
      </c>
      <c r="E193" s="167"/>
      <c r="F193" s="166"/>
      <c r="G193" s="167"/>
      <c r="H193" s="166"/>
      <c r="I193" s="167"/>
      <c r="J193" s="174">
        <f t="shared" si="27"/>
        <v>8000</v>
      </c>
      <c r="K193" s="170"/>
      <c r="L193" s="166"/>
      <c r="M193" s="167"/>
      <c r="N193" s="166"/>
      <c r="O193" s="167"/>
      <c r="P193" s="166"/>
      <c r="Q193" s="167"/>
      <c r="R193" s="167"/>
      <c r="S193" s="185">
        <f t="shared" si="29"/>
        <v>960</v>
      </c>
      <c r="T193" s="185"/>
      <c r="U193" s="166"/>
      <c r="V193" s="167"/>
      <c r="W193" s="175">
        <f t="shared" si="28"/>
        <v>960</v>
      </c>
      <c r="X193" s="172">
        <f t="shared" si="30"/>
        <v>7040</v>
      </c>
      <c r="Y193" s="172">
        <f t="shared" si="31"/>
        <v>1089</v>
      </c>
    </row>
    <row r="194" spans="1:25" s="177" customFormat="1" ht="54">
      <c r="A194" s="163">
        <v>18</v>
      </c>
      <c r="B194" s="164" t="s">
        <v>1215</v>
      </c>
      <c r="C194" s="165">
        <v>8000</v>
      </c>
      <c r="D194" s="313">
        <f t="shared" si="32"/>
        <v>8000</v>
      </c>
      <c r="E194" s="167"/>
      <c r="F194" s="166"/>
      <c r="G194" s="167"/>
      <c r="H194" s="166"/>
      <c r="I194" s="167"/>
      <c r="J194" s="174">
        <f t="shared" si="27"/>
        <v>8000</v>
      </c>
      <c r="K194" s="170"/>
      <c r="L194" s="166"/>
      <c r="M194" s="167"/>
      <c r="N194" s="166"/>
      <c r="O194" s="167"/>
      <c r="P194" s="166"/>
      <c r="Q194" s="167"/>
      <c r="R194" s="167"/>
      <c r="S194" s="185">
        <f t="shared" si="29"/>
        <v>960</v>
      </c>
      <c r="T194" s="185"/>
      <c r="U194" s="166"/>
      <c r="V194" s="167"/>
      <c r="W194" s="175">
        <f t="shared" si="28"/>
        <v>960</v>
      </c>
      <c r="X194" s="172">
        <f t="shared" si="30"/>
        <v>7040</v>
      </c>
      <c r="Y194" s="172">
        <f t="shared" si="31"/>
        <v>1089</v>
      </c>
    </row>
    <row r="195" spans="1:25" s="177" customFormat="1" ht="94.5">
      <c r="A195" s="163">
        <v>19</v>
      </c>
      <c r="B195" s="164" t="s">
        <v>1469</v>
      </c>
      <c r="C195" s="165">
        <v>8000</v>
      </c>
      <c r="D195" s="313">
        <f t="shared" si="32"/>
        <v>8000</v>
      </c>
      <c r="E195" s="167"/>
      <c r="F195" s="166"/>
      <c r="G195" s="167"/>
      <c r="H195" s="166"/>
      <c r="I195" s="167">
        <f>8000*6/30</f>
        <v>1600</v>
      </c>
      <c r="J195" s="174">
        <f t="shared" si="27"/>
        <v>9600</v>
      </c>
      <c r="K195" s="170"/>
      <c r="L195" s="166"/>
      <c r="M195" s="167"/>
      <c r="N195" s="166"/>
      <c r="O195" s="167"/>
      <c r="P195" s="166"/>
      <c r="Q195" s="167"/>
      <c r="R195" s="167"/>
      <c r="S195" s="185">
        <f t="shared" si="29"/>
        <v>1152</v>
      </c>
      <c r="T195" s="185"/>
      <c r="U195" s="166"/>
      <c r="V195" s="167"/>
      <c r="W195" s="175">
        <f t="shared" si="28"/>
        <v>1152</v>
      </c>
      <c r="X195" s="172">
        <f t="shared" si="30"/>
        <v>8448</v>
      </c>
      <c r="Y195" s="172">
        <f t="shared" si="31"/>
        <v>1307</v>
      </c>
    </row>
    <row r="196" spans="1:25" s="177" customFormat="1" ht="54">
      <c r="A196" s="163">
        <v>20</v>
      </c>
      <c r="B196" s="164" t="s">
        <v>1216</v>
      </c>
      <c r="C196" s="165">
        <v>8000</v>
      </c>
      <c r="D196" s="313">
        <f t="shared" si="32"/>
        <v>8000</v>
      </c>
      <c r="E196" s="167"/>
      <c r="F196" s="166"/>
      <c r="G196" s="167"/>
      <c r="H196" s="166"/>
      <c r="I196" s="167"/>
      <c r="J196" s="174">
        <f t="shared" si="27"/>
        <v>8000</v>
      </c>
      <c r="K196" s="170"/>
      <c r="L196" s="166"/>
      <c r="M196" s="167"/>
      <c r="N196" s="166"/>
      <c r="O196" s="167"/>
      <c r="P196" s="166"/>
      <c r="Q196" s="167"/>
      <c r="R196" s="167"/>
      <c r="S196" s="185">
        <f t="shared" si="29"/>
        <v>960</v>
      </c>
      <c r="T196" s="185"/>
      <c r="U196" s="166"/>
      <c r="V196" s="167"/>
      <c r="W196" s="175">
        <f t="shared" si="28"/>
        <v>960</v>
      </c>
      <c r="X196" s="172">
        <f t="shared" si="30"/>
        <v>7040</v>
      </c>
      <c r="Y196" s="172">
        <f t="shared" si="31"/>
        <v>1089</v>
      </c>
    </row>
    <row r="197" spans="1:25" s="177" customFormat="1" ht="54">
      <c r="A197" s="163">
        <v>21</v>
      </c>
      <c r="B197" s="164" t="s">
        <v>1435</v>
      </c>
      <c r="C197" s="165">
        <v>8000</v>
      </c>
      <c r="D197" s="313">
        <f t="shared" si="32"/>
        <v>8000</v>
      </c>
      <c r="E197" s="167"/>
      <c r="F197" s="166"/>
      <c r="G197" s="167"/>
      <c r="H197" s="166"/>
      <c r="I197" s="167"/>
      <c r="J197" s="174">
        <f t="shared" si="27"/>
        <v>8000</v>
      </c>
      <c r="K197" s="170"/>
      <c r="L197" s="166"/>
      <c r="M197" s="167"/>
      <c r="N197" s="166"/>
      <c r="O197" s="167"/>
      <c r="P197" s="166"/>
      <c r="Q197" s="167"/>
      <c r="R197" s="167"/>
      <c r="S197" s="185">
        <f t="shared" si="29"/>
        <v>960</v>
      </c>
      <c r="T197" s="185"/>
      <c r="U197" s="166"/>
      <c r="V197" s="167"/>
      <c r="W197" s="175">
        <f t="shared" si="28"/>
        <v>960</v>
      </c>
      <c r="X197" s="172">
        <f t="shared" si="30"/>
        <v>7040</v>
      </c>
      <c r="Y197" s="172">
        <f t="shared" si="31"/>
        <v>1089</v>
      </c>
    </row>
    <row r="198" spans="1:25" s="177" customFormat="1" ht="54">
      <c r="A198" s="163">
        <v>22</v>
      </c>
      <c r="B198" s="164" t="s">
        <v>1567</v>
      </c>
      <c r="C198" s="165">
        <v>8000</v>
      </c>
      <c r="D198" s="313">
        <f>ROUND(C198*30/31,0)</f>
        <v>7742</v>
      </c>
      <c r="E198" s="167"/>
      <c r="F198" s="166"/>
      <c r="G198" s="167"/>
      <c r="H198" s="166"/>
      <c r="I198" s="167"/>
      <c r="J198" s="174">
        <f t="shared" si="27"/>
        <v>7742</v>
      </c>
      <c r="K198" s="170"/>
      <c r="L198" s="166"/>
      <c r="M198" s="167"/>
      <c r="N198" s="166"/>
      <c r="O198" s="167"/>
      <c r="P198" s="166"/>
      <c r="Q198" s="167"/>
      <c r="R198" s="167"/>
      <c r="S198" s="185">
        <f t="shared" si="29"/>
        <v>929</v>
      </c>
      <c r="T198" s="185"/>
      <c r="U198" s="166"/>
      <c r="V198" s="167"/>
      <c r="W198" s="175">
        <f t="shared" si="28"/>
        <v>929</v>
      </c>
      <c r="X198" s="172">
        <f t="shared" si="30"/>
        <v>6813</v>
      </c>
      <c r="Y198" s="172">
        <f t="shared" si="31"/>
        <v>1054</v>
      </c>
    </row>
    <row r="199" spans="1:25" s="177" customFormat="1" ht="54">
      <c r="A199" s="163">
        <v>23</v>
      </c>
      <c r="B199" s="164" t="s">
        <v>1276</v>
      </c>
      <c r="C199" s="165">
        <v>8000</v>
      </c>
      <c r="D199" s="313">
        <f t="shared" si="32"/>
        <v>8000</v>
      </c>
      <c r="E199" s="167"/>
      <c r="F199" s="166"/>
      <c r="G199" s="167"/>
      <c r="H199" s="166"/>
      <c r="I199" s="167"/>
      <c r="J199" s="174">
        <f t="shared" si="27"/>
        <v>8000</v>
      </c>
      <c r="K199" s="170"/>
      <c r="L199" s="166"/>
      <c r="M199" s="167"/>
      <c r="N199" s="166"/>
      <c r="O199" s="167"/>
      <c r="P199" s="166"/>
      <c r="Q199" s="167"/>
      <c r="R199" s="167"/>
      <c r="S199" s="185">
        <f t="shared" si="29"/>
        <v>960</v>
      </c>
      <c r="T199" s="185"/>
      <c r="U199" s="166"/>
      <c r="V199" s="167"/>
      <c r="W199" s="175">
        <f t="shared" si="28"/>
        <v>960</v>
      </c>
      <c r="X199" s="172">
        <f t="shared" si="30"/>
        <v>7040</v>
      </c>
      <c r="Y199" s="172">
        <f t="shared" si="31"/>
        <v>1089</v>
      </c>
    </row>
    <row r="200" spans="1:25" s="177" customFormat="1" ht="67.5">
      <c r="A200" s="163">
        <v>24</v>
      </c>
      <c r="B200" s="164" t="s">
        <v>1436</v>
      </c>
      <c r="C200" s="165">
        <v>8000</v>
      </c>
      <c r="D200" s="313">
        <f t="shared" si="32"/>
        <v>8000</v>
      </c>
      <c r="E200" s="167"/>
      <c r="F200" s="166"/>
      <c r="G200" s="167"/>
      <c r="H200" s="166"/>
      <c r="I200" s="167"/>
      <c r="J200" s="174">
        <f t="shared" si="27"/>
        <v>8000</v>
      </c>
      <c r="K200" s="170"/>
      <c r="L200" s="166"/>
      <c r="M200" s="167"/>
      <c r="N200" s="166"/>
      <c r="O200" s="167"/>
      <c r="P200" s="166"/>
      <c r="Q200" s="167"/>
      <c r="R200" s="167"/>
      <c r="S200" s="185">
        <f t="shared" si="29"/>
        <v>960</v>
      </c>
      <c r="T200" s="185"/>
      <c r="U200" s="166"/>
      <c r="V200" s="167"/>
      <c r="W200" s="175">
        <f t="shared" si="28"/>
        <v>960</v>
      </c>
      <c r="X200" s="172">
        <f t="shared" si="30"/>
        <v>7040</v>
      </c>
      <c r="Y200" s="172">
        <f t="shared" si="31"/>
        <v>1089</v>
      </c>
    </row>
    <row r="201" spans="1:25" s="177" customFormat="1" ht="67.5">
      <c r="A201" s="163">
        <v>25</v>
      </c>
      <c r="B201" s="164" t="s">
        <v>1568</v>
      </c>
      <c r="C201" s="165">
        <v>8000</v>
      </c>
      <c r="D201" s="313">
        <f>ROUND(C201*18/31,0)</f>
        <v>4645</v>
      </c>
      <c r="E201" s="167"/>
      <c r="F201" s="166"/>
      <c r="G201" s="167"/>
      <c r="H201" s="166"/>
      <c r="I201" s="167"/>
      <c r="J201" s="174">
        <f t="shared" si="27"/>
        <v>4645</v>
      </c>
      <c r="K201" s="170"/>
      <c r="L201" s="166"/>
      <c r="M201" s="167"/>
      <c r="N201" s="166"/>
      <c r="O201" s="167"/>
      <c r="P201" s="166"/>
      <c r="Q201" s="167"/>
      <c r="R201" s="167"/>
      <c r="S201" s="185">
        <f t="shared" si="29"/>
        <v>557</v>
      </c>
      <c r="T201" s="185"/>
      <c r="U201" s="166"/>
      <c r="V201" s="167"/>
      <c r="W201" s="175">
        <f t="shared" si="28"/>
        <v>557</v>
      </c>
      <c r="X201" s="172">
        <f t="shared" si="30"/>
        <v>4088</v>
      </c>
      <c r="Y201" s="172">
        <f t="shared" si="31"/>
        <v>632</v>
      </c>
    </row>
    <row r="202" spans="1:25" s="177" customFormat="1" ht="54">
      <c r="A202" s="163">
        <v>26</v>
      </c>
      <c r="B202" s="164" t="s">
        <v>1593</v>
      </c>
      <c r="C202" s="165">
        <v>8000</v>
      </c>
      <c r="D202" s="313">
        <f>ROUND(C202*30/31,0)</f>
        <v>7742</v>
      </c>
      <c r="E202" s="167"/>
      <c r="F202" s="166"/>
      <c r="G202" s="167"/>
      <c r="H202" s="166"/>
      <c r="I202" s="167">
        <v>0</v>
      </c>
      <c r="J202" s="174">
        <f t="shared" si="27"/>
        <v>7742</v>
      </c>
      <c r="K202" s="170"/>
      <c r="L202" s="166"/>
      <c r="M202" s="167"/>
      <c r="N202" s="166"/>
      <c r="O202" s="167"/>
      <c r="P202" s="166"/>
      <c r="Q202" s="167"/>
      <c r="R202" s="167"/>
      <c r="S202" s="185">
        <f t="shared" si="29"/>
        <v>929</v>
      </c>
      <c r="T202" s="185"/>
      <c r="U202" s="166"/>
      <c r="V202" s="167"/>
      <c r="W202" s="175">
        <f t="shared" si="28"/>
        <v>929</v>
      </c>
      <c r="X202" s="172">
        <f t="shared" si="30"/>
        <v>6813</v>
      </c>
      <c r="Y202" s="172">
        <f t="shared" si="31"/>
        <v>1054</v>
      </c>
    </row>
    <row r="203" spans="1:25" s="177" customFormat="1" ht="67.5">
      <c r="A203" s="163">
        <v>27</v>
      </c>
      <c r="B203" s="164" t="s">
        <v>1569</v>
      </c>
      <c r="C203" s="165">
        <v>8000</v>
      </c>
      <c r="D203" s="313">
        <f>ROUND(C203*13/31,0)</f>
        <v>3355</v>
      </c>
      <c r="E203" s="167"/>
      <c r="F203" s="166"/>
      <c r="G203" s="167"/>
      <c r="H203" s="166"/>
      <c r="I203" s="167"/>
      <c r="J203" s="174">
        <f t="shared" si="27"/>
        <v>3355</v>
      </c>
      <c r="K203" s="170"/>
      <c r="L203" s="166"/>
      <c r="M203" s="167"/>
      <c r="N203" s="166"/>
      <c r="O203" s="167"/>
      <c r="P203" s="166"/>
      <c r="Q203" s="167"/>
      <c r="R203" s="167"/>
      <c r="S203" s="185">
        <f t="shared" si="29"/>
        <v>403</v>
      </c>
      <c r="T203" s="185"/>
      <c r="U203" s="166"/>
      <c r="V203" s="167"/>
      <c r="W203" s="175">
        <f t="shared" si="28"/>
        <v>403</v>
      </c>
      <c r="X203" s="172">
        <f t="shared" si="30"/>
        <v>2952</v>
      </c>
      <c r="Y203" s="172">
        <f t="shared" si="31"/>
        <v>457</v>
      </c>
    </row>
    <row r="204" spans="1:25" s="177" customFormat="1" ht="67.5">
      <c r="A204" s="163">
        <v>28</v>
      </c>
      <c r="B204" s="164" t="s">
        <v>1570</v>
      </c>
      <c r="C204" s="165">
        <v>8000</v>
      </c>
      <c r="D204" s="313">
        <f>ROUND(C204*30/31,0)</f>
        <v>7742</v>
      </c>
      <c r="E204" s="167"/>
      <c r="F204" s="166"/>
      <c r="G204" s="167"/>
      <c r="H204" s="166"/>
      <c r="I204" s="167"/>
      <c r="J204" s="174">
        <f t="shared" si="27"/>
        <v>7742</v>
      </c>
      <c r="K204" s="170"/>
      <c r="L204" s="166"/>
      <c r="M204" s="167"/>
      <c r="N204" s="166"/>
      <c r="O204" s="167"/>
      <c r="P204" s="166"/>
      <c r="Q204" s="167"/>
      <c r="R204" s="167"/>
      <c r="S204" s="185">
        <f t="shared" si="29"/>
        <v>929</v>
      </c>
      <c r="T204" s="185"/>
      <c r="U204" s="166"/>
      <c r="V204" s="167"/>
      <c r="W204" s="175">
        <f t="shared" si="28"/>
        <v>929</v>
      </c>
      <c r="X204" s="172">
        <f t="shared" si="30"/>
        <v>6813</v>
      </c>
      <c r="Y204" s="172">
        <f t="shared" si="31"/>
        <v>1054</v>
      </c>
    </row>
    <row r="205" spans="1:25" s="177" customFormat="1" ht="54">
      <c r="A205" s="163">
        <v>29</v>
      </c>
      <c r="B205" s="164" t="s">
        <v>1437</v>
      </c>
      <c r="C205" s="165">
        <v>8000</v>
      </c>
      <c r="D205" s="313">
        <f t="shared" si="32"/>
        <v>8000</v>
      </c>
      <c r="E205" s="167"/>
      <c r="F205" s="166"/>
      <c r="G205" s="167"/>
      <c r="H205" s="166"/>
      <c r="I205" s="167"/>
      <c r="J205" s="174">
        <f t="shared" si="27"/>
        <v>8000</v>
      </c>
      <c r="K205" s="170"/>
      <c r="L205" s="166"/>
      <c r="M205" s="167"/>
      <c r="N205" s="166"/>
      <c r="O205" s="167"/>
      <c r="P205" s="166"/>
      <c r="Q205" s="167"/>
      <c r="R205" s="167"/>
      <c r="S205" s="185">
        <f t="shared" si="29"/>
        <v>960</v>
      </c>
      <c r="T205" s="185"/>
      <c r="U205" s="166"/>
      <c r="V205" s="167"/>
      <c r="W205" s="175">
        <f t="shared" si="28"/>
        <v>960</v>
      </c>
      <c r="X205" s="172">
        <f t="shared" si="30"/>
        <v>7040</v>
      </c>
      <c r="Y205" s="172">
        <f t="shared" si="31"/>
        <v>1089</v>
      </c>
    </row>
    <row r="206" spans="1:25" s="177" customFormat="1" ht="54">
      <c r="A206" s="163">
        <v>30</v>
      </c>
      <c r="B206" s="164" t="s">
        <v>1571</v>
      </c>
      <c r="C206" s="165">
        <v>8000</v>
      </c>
      <c r="D206" s="313">
        <f>ROUND(C206*30/31,0)</f>
        <v>7742</v>
      </c>
      <c r="E206" s="167"/>
      <c r="F206" s="166"/>
      <c r="G206" s="167"/>
      <c r="H206" s="166"/>
      <c r="I206" s="167"/>
      <c r="J206" s="174">
        <f t="shared" si="27"/>
        <v>7742</v>
      </c>
      <c r="K206" s="170"/>
      <c r="L206" s="166">
        <v>800</v>
      </c>
      <c r="M206" s="167"/>
      <c r="N206" s="166"/>
      <c r="O206" s="167"/>
      <c r="P206" s="166"/>
      <c r="Q206" s="167"/>
      <c r="R206" s="167"/>
      <c r="S206" s="185">
        <f t="shared" si="29"/>
        <v>929</v>
      </c>
      <c r="T206" s="185"/>
      <c r="U206" s="166"/>
      <c r="V206" s="167"/>
      <c r="W206" s="175">
        <f t="shared" si="28"/>
        <v>1729</v>
      </c>
      <c r="X206" s="172">
        <f t="shared" si="30"/>
        <v>6013</v>
      </c>
      <c r="Y206" s="172">
        <f t="shared" si="31"/>
        <v>1054</v>
      </c>
    </row>
    <row r="207" spans="1:25" s="177" customFormat="1" ht="54">
      <c r="A207" s="163">
        <v>31</v>
      </c>
      <c r="B207" s="164" t="s">
        <v>1200</v>
      </c>
      <c r="C207" s="165">
        <v>8000</v>
      </c>
      <c r="D207" s="313">
        <f t="shared" si="32"/>
        <v>8000</v>
      </c>
      <c r="E207" s="167"/>
      <c r="F207" s="166"/>
      <c r="G207" s="167"/>
      <c r="H207" s="166"/>
      <c r="I207" s="167"/>
      <c r="J207" s="174">
        <f t="shared" si="27"/>
        <v>8000</v>
      </c>
      <c r="K207" s="170"/>
      <c r="L207" s="166"/>
      <c r="M207" s="167"/>
      <c r="N207" s="166"/>
      <c r="O207" s="167"/>
      <c r="P207" s="166"/>
      <c r="Q207" s="167"/>
      <c r="R207" s="167"/>
      <c r="S207" s="185">
        <f t="shared" si="29"/>
        <v>960</v>
      </c>
      <c r="T207" s="185"/>
      <c r="U207" s="166"/>
      <c r="V207" s="167"/>
      <c r="W207" s="175">
        <f t="shared" si="28"/>
        <v>960</v>
      </c>
      <c r="X207" s="172">
        <f t="shared" si="30"/>
        <v>7040</v>
      </c>
      <c r="Y207" s="172">
        <f t="shared" si="31"/>
        <v>1089</v>
      </c>
    </row>
    <row r="208" spans="1:25" s="177" customFormat="1" ht="54">
      <c r="A208" s="163">
        <v>32</v>
      </c>
      <c r="B208" s="164" t="s">
        <v>1572</v>
      </c>
      <c r="C208" s="165">
        <v>8000</v>
      </c>
      <c r="D208" s="313">
        <f>ROUND(C208*30/31,0)</f>
        <v>7742</v>
      </c>
      <c r="E208" s="167"/>
      <c r="F208" s="166"/>
      <c r="G208" s="167"/>
      <c r="H208" s="166"/>
      <c r="I208" s="167"/>
      <c r="J208" s="174">
        <f t="shared" si="27"/>
        <v>7742</v>
      </c>
      <c r="K208" s="170"/>
      <c r="L208" s="166"/>
      <c r="M208" s="167"/>
      <c r="N208" s="166"/>
      <c r="O208" s="167"/>
      <c r="P208" s="166"/>
      <c r="Q208" s="167"/>
      <c r="R208" s="167"/>
      <c r="S208" s="185">
        <f t="shared" si="29"/>
        <v>929</v>
      </c>
      <c r="T208" s="185"/>
      <c r="U208" s="166"/>
      <c r="V208" s="167"/>
      <c r="W208" s="175">
        <f t="shared" si="28"/>
        <v>929</v>
      </c>
      <c r="X208" s="172">
        <f t="shared" si="30"/>
        <v>6813</v>
      </c>
      <c r="Y208" s="172">
        <f t="shared" si="31"/>
        <v>1054</v>
      </c>
    </row>
    <row r="209" spans="1:25" s="177" customFormat="1" ht="54">
      <c r="A209" s="163">
        <v>33</v>
      </c>
      <c r="B209" s="164" t="s">
        <v>1573</v>
      </c>
      <c r="C209" s="165">
        <v>8000</v>
      </c>
      <c r="D209" s="313">
        <f>ROUND(C209*29/31,0)</f>
        <v>7484</v>
      </c>
      <c r="E209" s="167"/>
      <c r="F209" s="166"/>
      <c r="G209" s="167"/>
      <c r="H209" s="166"/>
      <c r="I209" s="167"/>
      <c r="J209" s="174">
        <f t="shared" si="27"/>
        <v>7484</v>
      </c>
      <c r="K209" s="170"/>
      <c r="L209" s="166"/>
      <c r="M209" s="167"/>
      <c r="N209" s="166"/>
      <c r="O209" s="167"/>
      <c r="P209" s="166"/>
      <c r="Q209" s="167"/>
      <c r="R209" s="167"/>
      <c r="S209" s="185">
        <f t="shared" si="29"/>
        <v>898</v>
      </c>
      <c r="T209" s="185"/>
      <c r="U209" s="166"/>
      <c r="V209" s="167"/>
      <c r="W209" s="175">
        <f t="shared" si="28"/>
        <v>898</v>
      </c>
      <c r="X209" s="172">
        <f t="shared" si="30"/>
        <v>6586</v>
      </c>
      <c r="Y209" s="172">
        <f t="shared" si="31"/>
        <v>1019</v>
      </c>
    </row>
    <row r="210" spans="1:25" s="177" customFormat="1" ht="54">
      <c r="A210" s="163">
        <v>34</v>
      </c>
      <c r="B210" s="164" t="s">
        <v>1574</v>
      </c>
      <c r="C210" s="165">
        <v>8000</v>
      </c>
      <c r="D210" s="313">
        <f>ROUND(C210*30/31,0)</f>
        <v>7742</v>
      </c>
      <c r="E210" s="167"/>
      <c r="F210" s="166"/>
      <c r="G210" s="167"/>
      <c r="H210" s="166"/>
      <c r="I210" s="167"/>
      <c r="J210" s="174">
        <f t="shared" si="27"/>
        <v>7742</v>
      </c>
      <c r="K210" s="170"/>
      <c r="L210" s="166"/>
      <c r="M210" s="167"/>
      <c r="N210" s="166"/>
      <c r="O210" s="167"/>
      <c r="P210" s="166"/>
      <c r="Q210" s="167"/>
      <c r="R210" s="167"/>
      <c r="S210" s="185">
        <f t="shared" si="29"/>
        <v>929</v>
      </c>
      <c r="T210" s="185"/>
      <c r="U210" s="166"/>
      <c r="V210" s="167"/>
      <c r="W210" s="175">
        <f t="shared" si="28"/>
        <v>929</v>
      </c>
      <c r="X210" s="172">
        <f t="shared" si="30"/>
        <v>6813</v>
      </c>
      <c r="Y210" s="172">
        <f t="shared" si="31"/>
        <v>1054</v>
      </c>
    </row>
    <row r="211" spans="1:25" s="177" customFormat="1" ht="54">
      <c r="A211" s="163">
        <v>35</v>
      </c>
      <c r="B211" s="164" t="s">
        <v>1438</v>
      </c>
      <c r="C211" s="165">
        <v>8000</v>
      </c>
      <c r="D211" s="313">
        <f t="shared" si="32"/>
        <v>8000</v>
      </c>
      <c r="E211" s="167"/>
      <c r="F211" s="166"/>
      <c r="G211" s="167"/>
      <c r="H211" s="166"/>
      <c r="I211" s="167"/>
      <c r="J211" s="174">
        <f t="shared" si="27"/>
        <v>8000</v>
      </c>
      <c r="K211" s="170"/>
      <c r="L211" s="166">
        <v>800</v>
      </c>
      <c r="M211" s="167"/>
      <c r="N211" s="166"/>
      <c r="O211" s="167"/>
      <c r="P211" s="166"/>
      <c r="Q211" s="167"/>
      <c r="R211" s="167"/>
      <c r="S211" s="185">
        <f t="shared" si="29"/>
        <v>960</v>
      </c>
      <c r="T211" s="185"/>
      <c r="U211" s="166"/>
      <c r="V211" s="167"/>
      <c r="W211" s="175">
        <f t="shared" si="28"/>
        <v>1760</v>
      </c>
      <c r="X211" s="172">
        <f t="shared" si="30"/>
        <v>6240</v>
      </c>
      <c r="Y211" s="172">
        <f t="shared" si="31"/>
        <v>1089</v>
      </c>
    </row>
    <row r="212" spans="1:25" s="177" customFormat="1" ht="67.5">
      <c r="A212" s="163">
        <v>36</v>
      </c>
      <c r="B212" s="164" t="s">
        <v>1575</v>
      </c>
      <c r="C212" s="165">
        <v>8000</v>
      </c>
      <c r="D212" s="313">
        <f>ROUND(C212*28/31,0)</f>
        <v>7226</v>
      </c>
      <c r="E212" s="167"/>
      <c r="F212" s="166"/>
      <c r="G212" s="167"/>
      <c r="H212" s="166"/>
      <c r="I212" s="167"/>
      <c r="J212" s="174">
        <f t="shared" si="27"/>
        <v>7226</v>
      </c>
      <c r="K212" s="170"/>
      <c r="L212" s="166">
        <v>800</v>
      </c>
      <c r="M212" s="167"/>
      <c r="N212" s="166"/>
      <c r="O212" s="167"/>
      <c r="P212" s="166"/>
      <c r="Q212" s="167"/>
      <c r="R212" s="167"/>
      <c r="S212" s="185">
        <f t="shared" si="29"/>
        <v>867</v>
      </c>
      <c r="T212" s="185"/>
      <c r="U212" s="166"/>
      <c r="V212" s="167"/>
      <c r="W212" s="175">
        <f t="shared" si="28"/>
        <v>1667</v>
      </c>
      <c r="X212" s="172">
        <f t="shared" si="30"/>
        <v>5559</v>
      </c>
      <c r="Y212" s="172">
        <f t="shared" si="31"/>
        <v>983</v>
      </c>
    </row>
    <row r="213" spans="1:25" s="177" customFormat="1" ht="54">
      <c r="A213" s="163">
        <v>37</v>
      </c>
      <c r="B213" s="164" t="s">
        <v>1439</v>
      </c>
      <c r="C213" s="165">
        <v>8000</v>
      </c>
      <c r="D213" s="313">
        <f t="shared" si="32"/>
        <v>8000</v>
      </c>
      <c r="E213" s="167"/>
      <c r="F213" s="166"/>
      <c r="G213" s="167"/>
      <c r="H213" s="166"/>
      <c r="I213" s="167"/>
      <c r="J213" s="174">
        <f t="shared" si="27"/>
        <v>8000</v>
      </c>
      <c r="K213" s="170"/>
      <c r="L213" s="166"/>
      <c r="M213" s="167"/>
      <c r="N213" s="166"/>
      <c r="O213" s="167"/>
      <c r="P213" s="166"/>
      <c r="Q213" s="167"/>
      <c r="R213" s="167"/>
      <c r="S213" s="185">
        <f t="shared" si="29"/>
        <v>960</v>
      </c>
      <c r="T213" s="185"/>
      <c r="U213" s="166"/>
      <c r="V213" s="167"/>
      <c r="W213" s="175">
        <f t="shared" si="28"/>
        <v>960</v>
      </c>
      <c r="X213" s="172">
        <f t="shared" si="30"/>
        <v>7040</v>
      </c>
      <c r="Y213" s="172">
        <f t="shared" si="31"/>
        <v>1089</v>
      </c>
    </row>
    <row r="214" spans="1:25" s="177" customFormat="1" ht="67.5">
      <c r="A214" s="163">
        <v>38</v>
      </c>
      <c r="B214" s="164" t="s">
        <v>1356</v>
      </c>
      <c r="C214" s="165">
        <v>8000</v>
      </c>
      <c r="D214" s="313">
        <v>8000</v>
      </c>
      <c r="E214" s="167"/>
      <c r="F214" s="166"/>
      <c r="G214" s="167"/>
      <c r="H214" s="166"/>
      <c r="I214" s="167"/>
      <c r="J214" s="174">
        <f t="shared" si="27"/>
        <v>8000</v>
      </c>
      <c r="K214" s="170"/>
      <c r="L214" s="166"/>
      <c r="M214" s="167"/>
      <c r="N214" s="166"/>
      <c r="O214" s="167"/>
      <c r="P214" s="166"/>
      <c r="Q214" s="167"/>
      <c r="R214" s="167"/>
      <c r="S214" s="185">
        <f t="shared" si="29"/>
        <v>960</v>
      </c>
      <c r="T214" s="185"/>
      <c r="U214" s="166"/>
      <c r="V214" s="167"/>
      <c r="W214" s="175">
        <f t="shared" si="28"/>
        <v>960</v>
      </c>
      <c r="X214" s="172">
        <f t="shared" si="30"/>
        <v>7040</v>
      </c>
      <c r="Y214" s="172">
        <f t="shared" si="31"/>
        <v>1089</v>
      </c>
    </row>
    <row r="215" spans="1:25" s="177" customFormat="1" ht="54">
      <c r="A215" s="163">
        <v>39</v>
      </c>
      <c r="B215" s="421" t="s">
        <v>1576</v>
      </c>
      <c r="C215" s="165">
        <v>8000</v>
      </c>
      <c r="D215" s="313">
        <f>ROUND(C215*30/31,0)</f>
        <v>7742</v>
      </c>
      <c r="E215" s="167"/>
      <c r="F215" s="166"/>
      <c r="G215" s="167"/>
      <c r="H215" s="166"/>
      <c r="I215" s="167"/>
      <c r="J215" s="174">
        <f t="shared" si="27"/>
        <v>7742</v>
      </c>
      <c r="K215" s="170"/>
      <c r="L215" s="166"/>
      <c r="M215" s="167"/>
      <c r="N215" s="166"/>
      <c r="O215" s="167"/>
      <c r="P215" s="166"/>
      <c r="Q215" s="167"/>
      <c r="R215" s="167"/>
      <c r="S215" s="185">
        <f t="shared" si="29"/>
        <v>929</v>
      </c>
      <c r="T215" s="185"/>
      <c r="U215" s="166"/>
      <c r="V215" s="167"/>
      <c r="W215" s="175">
        <f t="shared" si="28"/>
        <v>929</v>
      </c>
      <c r="X215" s="172">
        <f t="shared" si="30"/>
        <v>6813</v>
      </c>
      <c r="Y215" s="172">
        <f t="shared" si="31"/>
        <v>1054</v>
      </c>
    </row>
    <row r="216" spans="1:25" s="177" customFormat="1" ht="54">
      <c r="A216" s="163">
        <v>40</v>
      </c>
      <c r="B216" s="164" t="s">
        <v>1217</v>
      </c>
      <c r="C216" s="165">
        <v>8000</v>
      </c>
      <c r="D216" s="313">
        <f t="shared" si="32"/>
        <v>8000</v>
      </c>
      <c r="E216" s="167"/>
      <c r="F216" s="166"/>
      <c r="G216" s="167"/>
      <c r="H216" s="166"/>
      <c r="I216" s="167"/>
      <c r="J216" s="174">
        <f aca="true" t="shared" si="33" ref="J216:J303">SUM(D216:I216)</f>
        <v>8000</v>
      </c>
      <c r="K216" s="170"/>
      <c r="L216" s="166"/>
      <c r="M216" s="167"/>
      <c r="N216" s="166"/>
      <c r="O216" s="167"/>
      <c r="P216" s="166"/>
      <c r="Q216" s="167"/>
      <c r="R216" s="167"/>
      <c r="S216" s="185">
        <f t="shared" si="29"/>
        <v>960</v>
      </c>
      <c r="T216" s="185"/>
      <c r="U216" s="166"/>
      <c r="V216" s="167"/>
      <c r="W216" s="175">
        <f t="shared" si="28"/>
        <v>960</v>
      </c>
      <c r="X216" s="172">
        <f t="shared" si="30"/>
        <v>7040</v>
      </c>
      <c r="Y216" s="172">
        <f t="shared" si="31"/>
        <v>1089</v>
      </c>
    </row>
    <row r="217" spans="1:25" s="177" customFormat="1" ht="67.5">
      <c r="A217" s="163">
        <v>41</v>
      </c>
      <c r="B217" s="164" t="s">
        <v>1577</v>
      </c>
      <c r="C217" s="165">
        <v>8000</v>
      </c>
      <c r="D217" s="313">
        <f>ROUND(C217*27/31,0)</f>
        <v>6968</v>
      </c>
      <c r="E217" s="167"/>
      <c r="F217" s="166"/>
      <c r="G217" s="167"/>
      <c r="H217" s="166"/>
      <c r="I217" s="167"/>
      <c r="J217" s="174">
        <f t="shared" si="33"/>
        <v>6968</v>
      </c>
      <c r="K217" s="170"/>
      <c r="L217" s="166"/>
      <c r="M217" s="167"/>
      <c r="N217" s="166"/>
      <c r="O217" s="167"/>
      <c r="P217" s="166"/>
      <c r="Q217" s="167"/>
      <c r="R217" s="167"/>
      <c r="S217" s="185">
        <f t="shared" si="29"/>
        <v>836</v>
      </c>
      <c r="T217" s="185"/>
      <c r="U217" s="166"/>
      <c r="V217" s="167"/>
      <c r="W217" s="175">
        <f t="shared" si="28"/>
        <v>836</v>
      </c>
      <c r="X217" s="172">
        <f t="shared" si="30"/>
        <v>6132</v>
      </c>
      <c r="Y217" s="172">
        <f t="shared" si="31"/>
        <v>948</v>
      </c>
    </row>
    <row r="218" spans="1:25" s="177" customFormat="1" ht="54">
      <c r="A218" s="163">
        <v>42</v>
      </c>
      <c r="B218" s="164" t="s">
        <v>1218</v>
      </c>
      <c r="C218" s="165">
        <v>8000</v>
      </c>
      <c r="D218" s="313">
        <f t="shared" si="32"/>
        <v>8000</v>
      </c>
      <c r="E218" s="167"/>
      <c r="F218" s="166"/>
      <c r="G218" s="167"/>
      <c r="H218" s="166"/>
      <c r="I218" s="167"/>
      <c r="J218" s="174">
        <f t="shared" si="33"/>
        <v>8000</v>
      </c>
      <c r="K218" s="170"/>
      <c r="L218" s="166"/>
      <c r="M218" s="167"/>
      <c r="N218" s="166"/>
      <c r="O218" s="167"/>
      <c r="P218" s="166"/>
      <c r="Q218" s="167"/>
      <c r="R218" s="167"/>
      <c r="S218" s="185">
        <f t="shared" si="29"/>
        <v>960</v>
      </c>
      <c r="T218" s="185"/>
      <c r="U218" s="166"/>
      <c r="V218" s="167"/>
      <c r="W218" s="175">
        <f t="shared" si="28"/>
        <v>960</v>
      </c>
      <c r="X218" s="172">
        <f t="shared" si="30"/>
        <v>7040</v>
      </c>
      <c r="Y218" s="172">
        <f t="shared" si="31"/>
        <v>1089</v>
      </c>
    </row>
    <row r="219" spans="1:25" s="177" customFormat="1" ht="54">
      <c r="A219" s="163">
        <v>43</v>
      </c>
      <c r="B219" s="164" t="s">
        <v>1578</v>
      </c>
      <c r="C219" s="165">
        <v>8000</v>
      </c>
      <c r="D219" s="313">
        <f>ROUND(C219*30/31,0)</f>
        <v>7742</v>
      </c>
      <c r="E219" s="167"/>
      <c r="F219" s="166"/>
      <c r="G219" s="167"/>
      <c r="H219" s="166"/>
      <c r="I219" s="167"/>
      <c r="J219" s="174">
        <f t="shared" si="33"/>
        <v>7742</v>
      </c>
      <c r="K219" s="170"/>
      <c r="L219" s="166"/>
      <c r="M219" s="167"/>
      <c r="N219" s="166"/>
      <c r="O219" s="167"/>
      <c r="P219" s="166"/>
      <c r="Q219" s="167"/>
      <c r="R219" s="167"/>
      <c r="S219" s="185">
        <f t="shared" si="29"/>
        <v>929</v>
      </c>
      <c r="T219" s="185"/>
      <c r="U219" s="166"/>
      <c r="V219" s="167"/>
      <c r="W219" s="175">
        <f t="shared" si="28"/>
        <v>929</v>
      </c>
      <c r="X219" s="172">
        <f t="shared" si="30"/>
        <v>6813</v>
      </c>
      <c r="Y219" s="172">
        <f t="shared" si="31"/>
        <v>1054</v>
      </c>
    </row>
    <row r="220" spans="1:25" s="177" customFormat="1" ht="54">
      <c r="A220" s="163">
        <v>44</v>
      </c>
      <c r="B220" s="164" t="s">
        <v>1219</v>
      </c>
      <c r="C220" s="165">
        <v>8000</v>
      </c>
      <c r="D220" s="313">
        <f t="shared" si="32"/>
        <v>8000</v>
      </c>
      <c r="E220" s="167"/>
      <c r="F220" s="166"/>
      <c r="G220" s="167"/>
      <c r="H220" s="166"/>
      <c r="I220" s="167"/>
      <c r="J220" s="174">
        <f t="shared" si="33"/>
        <v>8000</v>
      </c>
      <c r="K220" s="170"/>
      <c r="L220" s="166"/>
      <c r="M220" s="167"/>
      <c r="N220" s="166"/>
      <c r="O220" s="167"/>
      <c r="P220" s="166"/>
      <c r="Q220" s="167"/>
      <c r="R220" s="167"/>
      <c r="S220" s="185">
        <f t="shared" si="29"/>
        <v>960</v>
      </c>
      <c r="T220" s="185"/>
      <c r="U220" s="166"/>
      <c r="V220" s="167"/>
      <c r="W220" s="175">
        <f t="shared" si="28"/>
        <v>960</v>
      </c>
      <c r="X220" s="172">
        <f t="shared" si="30"/>
        <v>7040</v>
      </c>
      <c r="Y220" s="172">
        <f t="shared" si="31"/>
        <v>1089</v>
      </c>
    </row>
    <row r="221" spans="1:25" s="177" customFormat="1" ht="54">
      <c r="A221" s="163">
        <v>45</v>
      </c>
      <c r="B221" s="164" t="s">
        <v>1357</v>
      </c>
      <c r="C221" s="165">
        <v>8000</v>
      </c>
      <c r="D221" s="313">
        <f t="shared" si="32"/>
        <v>8000</v>
      </c>
      <c r="E221" s="167"/>
      <c r="F221" s="166"/>
      <c r="G221" s="167"/>
      <c r="H221" s="166"/>
      <c r="I221" s="167"/>
      <c r="J221" s="174">
        <f t="shared" si="33"/>
        <v>8000</v>
      </c>
      <c r="K221" s="170"/>
      <c r="L221" s="166"/>
      <c r="M221" s="167"/>
      <c r="N221" s="166"/>
      <c r="O221" s="167"/>
      <c r="P221" s="166"/>
      <c r="Q221" s="167"/>
      <c r="R221" s="167"/>
      <c r="S221" s="185">
        <f t="shared" si="29"/>
        <v>960</v>
      </c>
      <c r="T221" s="185"/>
      <c r="U221" s="166"/>
      <c r="V221" s="167"/>
      <c r="W221" s="175">
        <f t="shared" si="28"/>
        <v>960</v>
      </c>
      <c r="X221" s="172">
        <f t="shared" si="30"/>
        <v>7040</v>
      </c>
      <c r="Y221" s="172">
        <f t="shared" si="31"/>
        <v>1089</v>
      </c>
    </row>
    <row r="222" spans="1:25" s="177" customFormat="1" ht="54">
      <c r="A222" s="163">
        <v>46</v>
      </c>
      <c r="B222" s="164" t="s">
        <v>1220</v>
      </c>
      <c r="C222" s="165">
        <v>8000</v>
      </c>
      <c r="D222" s="313">
        <f t="shared" si="32"/>
        <v>8000</v>
      </c>
      <c r="E222" s="167"/>
      <c r="F222" s="166"/>
      <c r="G222" s="167"/>
      <c r="H222" s="166"/>
      <c r="I222" s="167"/>
      <c r="J222" s="174">
        <f t="shared" si="33"/>
        <v>8000</v>
      </c>
      <c r="K222" s="170"/>
      <c r="L222" s="166"/>
      <c r="M222" s="167"/>
      <c r="N222" s="166"/>
      <c r="O222" s="167"/>
      <c r="P222" s="166"/>
      <c r="Q222" s="167"/>
      <c r="R222" s="167"/>
      <c r="S222" s="185">
        <f t="shared" si="29"/>
        <v>960</v>
      </c>
      <c r="T222" s="185"/>
      <c r="U222" s="166"/>
      <c r="V222" s="167"/>
      <c r="W222" s="175">
        <f t="shared" si="28"/>
        <v>960</v>
      </c>
      <c r="X222" s="172">
        <f t="shared" si="30"/>
        <v>7040</v>
      </c>
      <c r="Y222" s="172">
        <f t="shared" si="31"/>
        <v>1089</v>
      </c>
    </row>
    <row r="223" spans="1:25" s="177" customFormat="1" ht="54">
      <c r="A223" s="163">
        <v>47</v>
      </c>
      <c r="B223" s="164" t="s">
        <v>1221</v>
      </c>
      <c r="C223" s="165">
        <v>8000</v>
      </c>
      <c r="D223" s="313">
        <f t="shared" si="32"/>
        <v>8000</v>
      </c>
      <c r="E223" s="167"/>
      <c r="F223" s="166"/>
      <c r="G223" s="167"/>
      <c r="H223" s="166"/>
      <c r="I223" s="167"/>
      <c r="J223" s="174">
        <f t="shared" si="33"/>
        <v>8000</v>
      </c>
      <c r="K223" s="170"/>
      <c r="L223" s="166"/>
      <c r="M223" s="167"/>
      <c r="N223" s="166"/>
      <c r="O223" s="167"/>
      <c r="P223" s="166"/>
      <c r="Q223" s="167"/>
      <c r="R223" s="167"/>
      <c r="S223" s="185">
        <f t="shared" si="29"/>
        <v>960</v>
      </c>
      <c r="T223" s="185"/>
      <c r="U223" s="166"/>
      <c r="V223" s="167"/>
      <c r="W223" s="175">
        <f aca="true" t="shared" si="34" ref="W223:W297">SUM(K223:V223)</f>
        <v>960</v>
      </c>
      <c r="X223" s="172">
        <f t="shared" si="30"/>
        <v>7040</v>
      </c>
      <c r="Y223" s="172">
        <f t="shared" si="31"/>
        <v>1089</v>
      </c>
    </row>
    <row r="224" spans="1:25" s="177" customFormat="1" ht="67.5">
      <c r="A224" s="163">
        <v>48</v>
      </c>
      <c r="B224" s="164" t="s">
        <v>1488</v>
      </c>
      <c r="C224" s="165">
        <v>8000</v>
      </c>
      <c r="D224" s="313">
        <f t="shared" si="32"/>
        <v>8000</v>
      </c>
      <c r="E224" s="167"/>
      <c r="F224" s="166"/>
      <c r="G224" s="167"/>
      <c r="H224" s="166"/>
      <c r="I224" s="167"/>
      <c r="J224" s="174">
        <f t="shared" si="33"/>
        <v>8000</v>
      </c>
      <c r="K224" s="170"/>
      <c r="L224" s="166"/>
      <c r="M224" s="167"/>
      <c r="N224" s="166"/>
      <c r="O224" s="167"/>
      <c r="P224" s="166"/>
      <c r="Q224" s="167"/>
      <c r="R224" s="167"/>
      <c r="S224" s="185">
        <f t="shared" si="29"/>
        <v>960</v>
      </c>
      <c r="T224" s="185"/>
      <c r="U224" s="166"/>
      <c r="V224" s="167"/>
      <c r="W224" s="175">
        <f t="shared" si="34"/>
        <v>960</v>
      </c>
      <c r="X224" s="172">
        <f t="shared" si="30"/>
        <v>7040</v>
      </c>
      <c r="Y224" s="172">
        <f t="shared" si="31"/>
        <v>1089</v>
      </c>
    </row>
    <row r="225" spans="1:25" s="177" customFormat="1" ht="67.5">
      <c r="A225" s="163">
        <v>49</v>
      </c>
      <c r="B225" s="164" t="s">
        <v>1440</v>
      </c>
      <c r="C225" s="165">
        <v>8000</v>
      </c>
      <c r="D225" s="313">
        <f t="shared" si="32"/>
        <v>8000</v>
      </c>
      <c r="E225" s="167"/>
      <c r="F225" s="166"/>
      <c r="G225" s="167"/>
      <c r="H225" s="166"/>
      <c r="I225" s="167"/>
      <c r="J225" s="174">
        <f t="shared" si="33"/>
        <v>8000</v>
      </c>
      <c r="K225" s="170"/>
      <c r="L225" s="166"/>
      <c r="M225" s="167"/>
      <c r="N225" s="166"/>
      <c r="O225" s="167"/>
      <c r="P225" s="166"/>
      <c r="Q225" s="167"/>
      <c r="R225" s="167"/>
      <c r="S225" s="185">
        <f t="shared" si="29"/>
        <v>960</v>
      </c>
      <c r="T225" s="185"/>
      <c r="U225" s="166"/>
      <c r="V225" s="167"/>
      <c r="W225" s="175">
        <f t="shared" si="34"/>
        <v>960</v>
      </c>
      <c r="X225" s="172">
        <f t="shared" si="30"/>
        <v>7040</v>
      </c>
      <c r="Y225" s="172">
        <f t="shared" si="31"/>
        <v>1089</v>
      </c>
    </row>
    <row r="226" spans="1:25" s="177" customFormat="1" ht="67.5">
      <c r="A226" s="163">
        <v>50</v>
      </c>
      <c r="B226" s="164" t="s">
        <v>1579</v>
      </c>
      <c r="C226" s="165">
        <v>8000</v>
      </c>
      <c r="D226" s="313">
        <f>ROUND(C226*28/31,0)</f>
        <v>7226</v>
      </c>
      <c r="E226" s="167"/>
      <c r="F226" s="166"/>
      <c r="G226" s="167"/>
      <c r="H226" s="166"/>
      <c r="I226" s="167"/>
      <c r="J226" s="174">
        <f t="shared" si="33"/>
        <v>7226</v>
      </c>
      <c r="K226" s="170"/>
      <c r="L226" s="166"/>
      <c r="M226" s="167"/>
      <c r="N226" s="166"/>
      <c r="O226" s="167"/>
      <c r="P226" s="166"/>
      <c r="Q226" s="167"/>
      <c r="R226" s="167"/>
      <c r="S226" s="185">
        <f t="shared" si="29"/>
        <v>867</v>
      </c>
      <c r="T226" s="185"/>
      <c r="U226" s="166"/>
      <c r="V226" s="167"/>
      <c r="W226" s="175">
        <f t="shared" si="34"/>
        <v>867</v>
      </c>
      <c r="X226" s="172">
        <f t="shared" si="30"/>
        <v>6359</v>
      </c>
      <c r="Y226" s="172">
        <f t="shared" si="31"/>
        <v>983</v>
      </c>
    </row>
    <row r="227" spans="1:25" s="177" customFormat="1" ht="69" customHeight="1">
      <c r="A227" s="163">
        <v>51</v>
      </c>
      <c r="B227" s="164" t="s">
        <v>1580</v>
      </c>
      <c r="C227" s="165">
        <v>8000</v>
      </c>
      <c r="D227" s="313">
        <f>ROUND(C227*28/31,0)</f>
        <v>7226</v>
      </c>
      <c r="E227" s="167"/>
      <c r="F227" s="166"/>
      <c r="G227" s="167"/>
      <c r="H227" s="166"/>
      <c r="I227" s="167"/>
      <c r="J227" s="174">
        <f t="shared" si="33"/>
        <v>7226</v>
      </c>
      <c r="K227" s="170"/>
      <c r="L227" s="166"/>
      <c r="M227" s="167"/>
      <c r="N227" s="166"/>
      <c r="O227" s="167"/>
      <c r="P227" s="166"/>
      <c r="Q227" s="167"/>
      <c r="R227" s="167"/>
      <c r="S227" s="185">
        <f t="shared" si="29"/>
        <v>867</v>
      </c>
      <c r="T227" s="185"/>
      <c r="U227" s="166"/>
      <c r="V227" s="167"/>
      <c r="W227" s="175">
        <f t="shared" si="34"/>
        <v>867</v>
      </c>
      <c r="X227" s="172">
        <f t="shared" si="30"/>
        <v>6359</v>
      </c>
      <c r="Y227" s="172">
        <f t="shared" si="31"/>
        <v>983</v>
      </c>
    </row>
    <row r="228" spans="1:25" s="177" customFormat="1" ht="67.5">
      <c r="A228" s="163">
        <v>52</v>
      </c>
      <c r="B228" s="164" t="s">
        <v>1581</v>
      </c>
      <c r="C228" s="165">
        <v>8000</v>
      </c>
      <c r="D228" s="313">
        <f>ROUND(C228*29/31,0)</f>
        <v>7484</v>
      </c>
      <c r="E228" s="167"/>
      <c r="F228" s="166"/>
      <c r="G228" s="167"/>
      <c r="H228" s="166"/>
      <c r="I228" s="167"/>
      <c r="J228" s="174">
        <f t="shared" si="33"/>
        <v>7484</v>
      </c>
      <c r="K228" s="170"/>
      <c r="L228" s="166"/>
      <c r="M228" s="167"/>
      <c r="N228" s="166"/>
      <c r="O228" s="167"/>
      <c r="P228" s="166"/>
      <c r="Q228" s="167"/>
      <c r="R228" s="167"/>
      <c r="S228" s="185">
        <f t="shared" si="29"/>
        <v>898</v>
      </c>
      <c r="T228" s="185"/>
      <c r="U228" s="166"/>
      <c r="V228" s="167"/>
      <c r="W228" s="175">
        <f t="shared" si="34"/>
        <v>898</v>
      </c>
      <c r="X228" s="172">
        <f t="shared" si="30"/>
        <v>6586</v>
      </c>
      <c r="Y228" s="172">
        <f t="shared" si="31"/>
        <v>1019</v>
      </c>
    </row>
    <row r="229" spans="1:25" s="177" customFormat="1" ht="54">
      <c r="A229" s="163">
        <v>53</v>
      </c>
      <c r="B229" s="164" t="s">
        <v>1441</v>
      </c>
      <c r="C229" s="165">
        <v>8000</v>
      </c>
      <c r="D229" s="313">
        <f t="shared" si="32"/>
        <v>8000</v>
      </c>
      <c r="E229" s="167"/>
      <c r="F229" s="166"/>
      <c r="G229" s="167"/>
      <c r="H229" s="166"/>
      <c r="I229" s="167"/>
      <c r="J229" s="174">
        <f t="shared" si="33"/>
        <v>8000</v>
      </c>
      <c r="K229" s="170"/>
      <c r="L229" s="166"/>
      <c r="M229" s="167"/>
      <c r="N229" s="166"/>
      <c r="O229" s="167"/>
      <c r="P229" s="166"/>
      <c r="Q229" s="167"/>
      <c r="R229" s="167"/>
      <c r="S229" s="185">
        <f t="shared" si="29"/>
        <v>960</v>
      </c>
      <c r="T229" s="185"/>
      <c r="U229" s="166"/>
      <c r="V229" s="167"/>
      <c r="W229" s="175">
        <f t="shared" si="34"/>
        <v>960</v>
      </c>
      <c r="X229" s="172">
        <f t="shared" si="30"/>
        <v>7040</v>
      </c>
      <c r="Y229" s="172">
        <f t="shared" si="31"/>
        <v>1089</v>
      </c>
    </row>
    <row r="230" spans="1:25" s="177" customFormat="1" ht="54">
      <c r="A230" s="163">
        <v>54</v>
      </c>
      <c r="B230" s="164" t="s">
        <v>1442</v>
      </c>
      <c r="C230" s="165">
        <v>8000</v>
      </c>
      <c r="D230" s="313">
        <f t="shared" si="32"/>
        <v>8000</v>
      </c>
      <c r="E230" s="167"/>
      <c r="F230" s="166"/>
      <c r="G230" s="167"/>
      <c r="H230" s="166"/>
      <c r="I230" s="167"/>
      <c r="J230" s="174">
        <f t="shared" si="33"/>
        <v>8000</v>
      </c>
      <c r="K230" s="170"/>
      <c r="L230" s="166"/>
      <c r="M230" s="167"/>
      <c r="N230" s="166"/>
      <c r="O230" s="167"/>
      <c r="P230" s="166"/>
      <c r="Q230" s="167"/>
      <c r="R230" s="167"/>
      <c r="S230" s="185">
        <f t="shared" si="29"/>
        <v>960</v>
      </c>
      <c r="T230" s="185"/>
      <c r="U230" s="166"/>
      <c r="V230" s="167"/>
      <c r="W230" s="175">
        <f t="shared" si="34"/>
        <v>960</v>
      </c>
      <c r="X230" s="172">
        <f t="shared" si="30"/>
        <v>7040</v>
      </c>
      <c r="Y230" s="172">
        <f t="shared" si="31"/>
        <v>1089</v>
      </c>
    </row>
    <row r="231" spans="1:25" s="177" customFormat="1" ht="54">
      <c r="A231" s="163">
        <v>55</v>
      </c>
      <c r="B231" s="164" t="s">
        <v>1443</v>
      </c>
      <c r="C231" s="165">
        <v>8000</v>
      </c>
      <c r="D231" s="313">
        <f t="shared" si="32"/>
        <v>8000</v>
      </c>
      <c r="E231" s="167"/>
      <c r="F231" s="166"/>
      <c r="G231" s="167"/>
      <c r="H231" s="166"/>
      <c r="I231" s="167"/>
      <c r="J231" s="174">
        <f t="shared" si="33"/>
        <v>8000</v>
      </c>
      <c r="K231" s="170"/>
      <c r="L231" s="166"/>
      <c r="M231" s="167"/>
      <c r="N231" s="166"/>
      <c r="O231" s="167"/>
      <c r="P231" s="166"/>
      <c r="Q231" s="167"/>
      <c r="R231" s="167"/>
      <c r="S231" s="185">
        <f>ROUND(J231*12/100,0)</f>
        <v>960</v>
      </c>
      <c r="T231" s="185"/>
      <c r="U231" s="166"/>
      <c r="V231" s="167"/>
      <c r="W231" s="175">
        <f t="shared" si="34"/>
        <v>960</v>
      </c>
      <c r="X231" s="172">
        <f aca="true" t="shared" si="35" ref="X231:X319">J231-W231</f>
        <v>7040</v>
      </c>
      <c r="Y231" s="172">
        <f>ROUND(J231*13.61/100,0)</f>
        <v>1089</v>
      </c>
    </row>
    <row r="232" spans="1:25" s="177" customFormat="1" ht="67.5">
      <c r="A232" s="163">
        <v>56</v>
      </c>
      <c r="B232" s="164" t="s">
        <v>1582</v>
      </c>
      <c r="C232" s="165">
        <v>8000</v>
      </c>
      <c r="D232" s="313">
        <f>ROUND(C232*6/31,0)</f>
        <v>1548</v>
      </c>
      <c r="E232" s="167"/>
      <c r="F232" s="166"/>
      <c r="G232" s="167"/>
      <c r="H232" s="166"/>
      <c r="I232" s="167"/>
      <c r="J232" s="174">
        <f t="shared" si="33"/>
        <v>1548</v>
      </c>
      <c r="K232" s="170"/>
      <c r="L232" s="166"/>
      <c r="M232" s="167"/>
      <c r="N232" s="166"/>
      <c r="O232" s="167"/>
      <c r="P232" s="166"/>
      <c r="Q232" s="167"/>
      <c r="R232" s="167"/>
      <c r="S232" s="185">
        <f>ROUND(J232*12/100,0)</f>
        <v>186</v>
      </c>
      <c r="T232" s="185"/>
      <c r="U232" s="166"/>
      <c r="V232" s="167"/>
      <c r="W232" s="175">
        <f t="shared" si="34"/>
        <v>186</v>
      </c>
      <c r="X232" s="172">
        <f t="shared" si="35"/>
        <v>1362</v>
      </c>
      <c r="Y232" s="172">
        <f>ROUND(J232*13.61/100,0)</f>
        <v>211</v>
      </c>
    </row>
    <row r="233" spans="1:25" s="177" customFormat="1" ht="54">
      <c r="A233" s="163">
        <v>57</v>
      </c>
      <c r="B233" s="164" t="s">
        <v>1444</v>
      </c>
      <c r="C233" s="165">
        <v>8000</v>
      </c>
      <c r="D233" s="313">
        <f>C233</f>
        <v>8000</v>
      </c>
      <c r="E233" s="167"/>
      <c r="F233" s="166"/>
      <c r="G233" s="167"/>
      <c r="H233" s="166"/>
      <c r="I233" s="167">
        <v>0</v>
      </c>
      <c r="J233" s="174">
        <f aca="true" t="shared" si="36" ref="J233:J243">SUM(D233:I233)</f>
        <v>8000</v>
      </c>
      <c r="K233" s="170"/>
      <c r="L233" s="166"/>
      <c r="M233" s="167"/>
      <c r="N233" s="166"/>
      <c r="O233" s="167"/>
      <c r="P233" s="166"/>
      <c r="Q233" s="167"/>
      <c r="R233" s="167"/>
      <c r="S233" s="185">
        <f aca="true" t="shared" si="37" ref="S233:S243">ROUND(J233*12/100,0)</f>
        <v>960</v>
      </c>
      <c r="T233" s="185"/>
      <c r="U233" s="166"/>
      <c r="V233" s="167"/>
      <c r="W233" s="175">
        <f aca="true" t="shared" si="38" ref="W233:W243">SUM(K233:V233)</f>
        <v>960</v>
      </c>
      <c r="X233" s="172">
        <f aca="true" t="shared" si="39" ref="X233:X243">J233-W233</f>
        <v>7040</v>
      </c>
      <c r="Y233" s="172">
        <f aca="true" t="shared" si="40" ref="Y233:Y243">ROUND(J233*13.61/100,0)</f>
        <v>1089</v>
      </c>
    </row>
    <row r="234" spans="1:25" s="177" customFormat="1" ht="54">
      <c r="A234" s="163">
        <v>58</v>
      </c>
      <c r="B234" s="164" t="s">
        <v>1358</v>
      </c>
      <c r="C234" s="165">
        <v>8000</v>
      </c>
      <c r="D234" s="313">
        <f>C234</f>
        <v>8000</v>
      </c>
      <c r="E234" s="167"/>
      <c r="F234" s="166"/>
      <c r="G234" s="167"/>
      <c r="H234" s="166"/>
      <c r="I234" s="167">
        <v>0</v>
      </c>
      <c r="J234" s="174">
        <f t="shared" si="36"/>
        <v>8000</v>
      </c>
      <c r="K234" s="170"/>
      <c r="L234" s="166"/>
      <c r="M234" s="167"/>
      <c r="N234" s="166"/>
      <c r="O234" s="167"/>
      <c r="P234" s="166"/>
      <c r="Q234" s="167"/>
      <c r="R234" s="167"/>
      <c r="S234" s="185">
        <f t="shared" si="37"/>
        <v>960</v>
      </c>
      <c r="T234" s="185"/>
      <c r="U234" s="166"/>
      <c r="V234" s="167"/>
      <c r="W234" s="175">
        <f t="shared" si="38"/>
        <v>960</v>
      </c>
      <c r="X234" s="172">
        <f t="shared" si="39"/>
        <v>7040</v>
      </c>
      <c r="Y234" s="172">
        <f t="shared" si="40"/>
        <v>1089</v>
      </c>
    </row>
    <row r="235" spans="1:25" s="177" customFormat="1" ht="54">
      <c r="A235" s="163">
        <v>59</v>
      </c>
      <c r="B235" s="164" t="s">
        <v>1445</v>
      </c>
      <c r="C235" s="165">
        <v>8000</v>
      </c>
      <c r="D235" s="313">
        <f>C235</f>
        <v>8000</v>
      </c>
      <c r="E235" s="167"/>
      <c r="F235" s="166"/>
      <c r="G235" s="167"/>
      <c r="H235" s="166"/>
      <c r="I235" s="167">
        <v>0</v>
      </c>
      <c r="J235" s="174">
        <f t="shared" si="36"/>
        <v>8000</v>
      </c>
      <c r="K235" s="170"/>
      <c r="L235" s="166"/>
      <c r="M235" s="167"/>
      <c r="N235" s="166"/>
      <c r="O235" s="167"/>
      <c r="P235" s="166"/>
      <c r="Q235" s="167"/>
      <c r="R235" s="167"/>
      <c r="S235" s="185">
        <f t="shared" si="37"/>
        <v>960</v>
      </c>
      <c r="T235" s="185"/>
      <c r="U235" s="166"/>
      <c r="V235" s="167"/>
      <c r="W235" s="175">
        <f t="shared" si="38"/>
        <v>960</v>
      </c>
      <c r="X235" s="172">
        <f t="shared" si="39"/>
        <v>7040</v>
      </c>
      <c r="Y235" s="172">
        <f t="shared" si="40"/>
        <v>1089</v>
      </c>
    </row>
    <row r="236" spans="1:25" s="177" customFormat="1" ht="67.5">
      <c r="A236" s="163">
        <v>60</v>
      </c>
      <c r="B236" s="164" t="s">
        <v>1446</v>
      </c>
      <c r="C236" s="165">
        <v>8000</v>
      </c>
      <c r="D236" s="313">
        <f>C236</f>
        <v>8000</v>
      </c>
      <c r="E236" s="167"/>
      <c r="F236" s="166"/>
      <c r="G236" s="167"/>
      <c r="H236" s="166"/>
      <c r="I236" s="167">
        <v>0</v>
      </c>
      <c r="J236" s="174">
        <f t="shared" si="36"/>
        <v>8000</v>
      </c>
      <c r="K236" s="170"/>
      <c r="L236" s="166"/>
      <c r="M236" s="167"/>
      <c r="N236" s="166"/>
      <c r="O236" s="167"/>
      <c r="P236" s="166"/>
      <c r="Q236" s="167"/>
      <c r="R236" s="167"/>
      <c r="S236" s="185">
        <f t="shared" si="37"/>
        <v>960</v>
      </c>
      <c r="T236" s="185"/>
      <c r="U236" s="166"/>
      <c r="V236" s="167"/>
      <c r="W236" s="175">
        <f t="shared" si="38"/>
        <v>960</v>
      </c>
      <c r="X236" s="172">
        <f t="shared" si="39"/>
        <v>7040</v>
      </c>
      <c r="Y236" s="172">
        <f t="shared" si="40"/>
        <v>1089</v>
      </c>
    </row>
    <row r="237" spans="1:25" s="177" customFormat="1" ht="54">
      <c r="A237" s="163">
        <v>61</v>
      </c>
      <c r="B237" s="164" t="s">
        <v>1583</v>
      </c>
      <c r="C237" s="165">
        <v>8000</v>
      </c>
      <c r="D237" s="313">
        <v>0</v>
      </c>
      <c r="E237" s="167"/>
      <c r="F237" s="166"/>
      <c r="G237" s="167"/>
      <c r="H237" s="166"/>
      <c r="I237" s="167">
        <v>0</v>
      </c>
      <c r="J237" s="174">
        <f t="shared" si="36"/>
        <v>0</v>
      </c>
      <c r="K237" s="170"/>
      <c r="L237" s="166"/>
      <c r="M237" s="167"/>
      <c r="N237" s="166"/>
      <c r="O237" s="167"/>
      <c r="P237" s="166"/>
      <c r="Q237" s="167"/>
      <c r="R237" s="167"/>
      <c r="S237" s="185">
        <f t="shared" si="37"/>
        <v>0</v>
      </c>
      <c r="T237" s="185"/>
      <c r="U237" s="166"/>
      <c r="V237" s="167"/>
      <c r="W237" s="175">
        <f t="shared" si="38"/>
        <v>0</v>
      </c>
      <c r="X237" s="172">
        <f t="shared" si="39"/>
        <v>0</v>
      </c>
      <c r="Y237" s="172">
        <f t="shared" si="40"/>
        <v>0</v>
      </c>
    </row>
    <row r="238" spans="1:25" s="177" customFormat="1" ht="54">
      <c r="A238" s="163">
        <v>62</v>
      </c>
      <c r="B238" s="164" t="s">
        <v>1584</v>
      </c>
      <c r="C238" s="165">
        <v>8000</v>
      </c>
      <c r="D238" s="313">
        <f>ROUND(C238*30/31,0)</f>
        <v>7742</v>
      </c>
      <c r="E238" s="167"/>
      <c r="F238" s="166"/>
      <c r="G238" s="167"/>
      <c r="H238" s="166"/>
      <c r="I238" s="167">
        <v>0</v>
      </c>
      <c r="J238" s="174">
        <f t="shared" si="36"/>
        <v>7742</v>
      </c>
      <c r="K238" s="170"/>
      <c r="L238" s="166"/>
      <c r="M238" s="167"/>
      <c r="N238" s="166"/>
      <c r="O238" s="167"/>
      <c r="P238" s="166"/>
      <c r="Q238" s="167"/>
      <c r="R238" s="167"/>
      <c r="S238" s="185">
        <f t="shared" si="37"/>
        <v>929</v>
      </c>
      <c r="T238" s="185"/>
      <c r="U238" s="166"/>
      <c r="V238" s="167"/>
      <c r="W238" s="175">
        <f t="shared" si="38"/>
        <v>929</v>
      </c>
      <c r="X238" s="172">
        <f t="shared" si="39"/>
        <v>6813</v>
      </c>
      <c r="Y238" s="172">
        <f t="shared" si="40"/>
        <v>1054</v>
      </c>
    </row>
    <row r="239" spans="1:25" s="177" customFormat="1" ht="54">
      <c r="A239" s="163">
        <v>63</v>
      </c>
      <c r="B239" s="164" t="s">
        <v>1585</v>
      </c>
      <c r="C239" s="165">
        <v>8000</v>
      </c>
      <c r="D239" s="313">
        <f>ROUND(C239*29/31,0)</f>
        <v>7484</v>
      </c>
      <c r="E239" s="167"/>
      <c r="F239" s="166"/>
      <c r="G239" s="167"/>
      <c r="H239" s="166"/>
      <c r="I239" s="167">
        <v>0</v>
      </c>
      <c r="J239" s="174">
        <f t="shared" si="36"/>
        <v>7484</v>
      </c>
      <c r="K239" s="170"/>
      <c r="L239" s="166"/>
      <c r="M239" s="167"/>
      <c r="N239" s="166"/>
      <c r="O239" s="167"/>
      <c r="P239" s="166"/>
      <c r="Q239" s="167"/>
      <c r="R239" s="167"/>
      <c r="S239" s="185">
        <f t="shared" si="37"/>
        <v>898</v>
      </c>
      <c r="T239" s="185"/>
      <c r="U239" s="166"/>
      <c r="V239" s="167"/>
      <c r="W239" s="175">
        <f t="shared" si="38"/>
        <v>898</v>
      </c>
      <c r="X239" s="172">
        <f t="shared" si="39"/>
        <v>6586</v>
      </c>
      <c r="Y239" s="172">
        <f t="shared" si="40"/>
        <v>1019</v>
      </c>
    </row>
    <row r="240" spans="1:25" s="177" customFormat="1" ht="81">
      <c r="A240" s="163">
        <v>64</v>
      </c>
      <c r="B240" s="164" t="s">
        <v>1586</v>
      </c>
      <c r="C240" s="165">
        <v>8000</v>
      </c>
      <c r="D240" s="313">
        <f>ROUND(C240*28/31,0)</f>
        <v>7226</v>
      </c>
      <c r="E240" s="167"/>
      <c r="F240" s="166"/>
      <c r="G240" s="167"/>
      <c r="H240" s="166"/>
      <c r="I240" s="167">
        <v>0</v>
      </c>
      <c r="J240" s="174">
        <f t="shared" si="36"/>
        <v>7226</v>
      </c>
      <c r="K240" s="170"/>
      <c r="L240" s="166"/>
      <c r="M240" s="167"/>
      <c r="N240" s="166"/>
      <c r="O240" s="167"/>
      <c r="P240" s="166"/>
      <c r="Q240" s="167"/>
      <c r="R240" s="167"/>
      <c r="S240" s="185">
        <f t="shared" si="37"/>
        <v>867</v>
      </c>
      <c r="T240" s="185"/>
      <c r="U240" s="166"/>
      <c r="V240" s="167"/>
      <c r="W240" s="175">
        <f t="shared" si="38"/>
        <v>867</v>
      </c>
      <c r="X240" s="172">
        <f t="shared" si="39"/>
        <v>6359</v>
      </c>
      <c r="Y240" s="172">
        <f t="shared" si="40"/>
        <v>983</v>
      </c>
    </row>
    <row r="241" spans="1:25" s="177" customFormat="1" ht="54">
      <c r="A241" s="163">
        <v>65</v>
      </c>
      <c r="B241" s="164" t="s">
        <v>1245</v>
      </c>
      <c r="C241" s="165">
        <v>8000</v>
      </c>
      <c r="D241" s="313">
        <f>C241</f>
        <v>8000</v>
      </c>
      <c r="E241" s="167"/>
      <c r="F241" s="166"/>
      <c r="G241" s="167"/>
      <c r="H241" s="166"/>
      <c r="I241" s="167">
        <v>0</v>
      </c>
      <c r="J241" s="174">
        <f t="shared" si="36"/>
        <v>8000</v>
      </c>
      <c r="K241" s="170"/>
      <c r="L241" s="166"/>
      <c r="M241" s="167"/>
      <c r="N241" s="166"/>
      <c r="O241" s="167"/>
      <c r="P241" s="166"/>
      <c r="Q241" s="167"/>
      <c r="R241" s="167"/>
      <c r="S241" s="185">
        <f t="shared" si="37"/>
        <v>960</v>
      </c>
      <c r="T241" s="185"/>
      <c r="U241" s="166"/>
      <c r="V241" s="167"/>
      <c r="W241" s="175">
        <f t="shared" si="38"/>
        <v>960</v>
      </c>
      <c r="X241" s="172">
        <f t="shared" si="39"/>
        <v>7040</v>
      </c>
      <c r="Y241" s="172">
        <f t="shared" si="40"/>
        <v>1089</v>
      </c>
    </row>
    <row r="242" spans="1:25" s="177" customFormat="1" ht="67.5">
      <c r="A242" s="163">
        <v>66</v>
      </c>
      <c r="B242" s="164" t="s">
        <v>1244</v>
      </c>
      <c r="C242" s="165">
        <v>8000</v>
      </c>
      <c r="D242" s="313">
        <f>C242</f>
        <v>8000</v>
      </c>
      <c r="E242" s="167"/>
      <c r="F242" s="166"/>
      <c r="G242" s="167"/>
      <c r="H242" s="166"/>
      <c r="I242" s="167"/>
      <c r="J242" s="174">
        <f t="shared" si="36"/>
        <v>8000</v>
      </c>
      <c r="K242" s="170"/>
      <c r="L242" s="166"/>
      <c r="M242" s="167"/>
      <c r="N242" s="166"/>
      <c r="O242" s="167"/>
      <c r="P242" s="166"/>
      <c r="Q242" s="167"/>
      <c r="R242" s="167"/>
      <c r="S242" s="185">
        <f t="shared" si="37"/>
        <v>960</v>
      </c>
      <c r="T242" s="185"/>
      <c r="U242" s="166"/>
      <c r="V242" s="167"/>
      <c r="W242" s="175">
        <f t="shared" si="38"/>
        <v>960</v>
      </c>
      <c r="X242" s="172">
        <f t="shared" si="39"/>
        <v>7040</v>
      </c>
      <c r="Y242" s="172">
        <f t="shared" si="40"/>
        <v>1089</v>
      </c>
    </row>
    <row r="243" spans="1:25" s="177" customFormat="1" ht="67.5">
      <c r="A243" s="163">
        <v>67</v>
      </c>
      <c r="B243" s="164" t="s">
        <v>1359</v>
      </c>
      <c r="C243" s="165">
        <v>8000</v>
      </c>
      <c r="D243" s="313">
        <f>C243</f>
        <v>8000</v>
      </c>
      <c r="E243" s="167"/>
      <c r="F243" s="166"/>
      <c r="G243" s="167"/>
      <c r="H243" s="166"/>
      <c r="I243" s="167"/>
      <c r="J243" s="174">
        <f t="shared" si="36"/>
        <v>8000</v>
      </c>
      <c r="K243" s="170"/>
      <c r="L243" s="166"/>
      <c r="M243" s="167"/>
      <c r="N243" s="166"/>
      <c r="O243" s="167"/>
      <c r="P243" s="166"/>
      <c r="Q243" s="167"/>
      <c r="R243" s="167"/>
      <c r="S243" s="185">
        <f t="shared" si="37"/>
        <v>960</v>
      </c>
      <c r="T243" s="185"/>
      <c r="U243" s="166"/>
      <c r="V243" s="167"/>
      <c r="W243" s="175">
        <f t="shared" si="38"/>
        <v>960</v>
      </c>
      <c r="X243" s="172">
        <f t="shared" si="39"/>
        <v>7040</v>
      </c>
      <c r="Y243" s="172">
        <f t="shared" si="40"/>
        <v>1089</v>
      </c>
    </row>
    <row r="244" spans="1:25" s="177" customFormat="1" ht="67.5">
      <c r="A244" s="163">
        <v>68</v>
      </c>
      <c r="B244" s="345" t="s">
        <v>1587</v>
      </c>
      <c r="C244" s="165">
        <v>8000</v>
      </c>
      <c r="D244" s="313">
        <f>ROUND(C244*30/31,0)</f>
        <v>7742</v>
      </c>
      <c r="E244" s="167"/>
      <c r="F244" s="166"/>
      <c r="G244" s="167"/>
      <c r="H244" s="166"/>
      <c r="I244" s="167"/>
      <c r="J244" s="174">
        <f aca="true" t="shared" si="41" ref="J244:J259">SUM(D244:I244)</f>
        <v>7742</v>
      </c>
      <c r="K244" s="170"/>
      <c r="L244" s="166"/>
      <c r="M244" s="167"/>
      <c r="N244" s="166"/>
      <c r="O244" s="167"/>
      <c r="P244" s="166"/>
      <c r="Q244" s="167"/>
      <c r="R244" s="167"/>
      <c r="S244" s="185">
        <f aca="true" t="shared" si="42" ref="S244:S259">ROUND(J244*12/100,0)</f>
        <v>929</v>
      </c>
      <c r="T244" s="185"/>
      <c r="U244" s="166"/>
      <c r="V244" s="167"/>
      <c r="W244" s="175">
        <f aca="true" t="shared" si="43" ref="W244:W259">SUM(K244:V244)</f>
        <v>929</v>
      </c>
      <c r="X244" s="172">
        <f aca="true" t="shared" si="44" ref="X244:X259">J244-W244</f>
        <v>6813</v>
      </c>
      <c r="Y244" s="172">
        <f aca="true" t="shared" si="45" ref="Y244:Y259">ROUND(J244*13.61/100,0)</f>
        <v>1054</v>
      </c>
    </row>
    <row r="245" spans="1:25" s="177" customFormat="1" ht="67.5">
      <c r="A245" s="163">
        <v>69</v>
      </c>
      <c r="B245" s="345" t="s">
        <v>1588</v>
      </c>
      <c r="C245" s="165">
        <v>8000</v>
      </c>
      <c r="D245" s="313">
        <v>0</v>
      </c>
      <c r="E245" s="167"/>
      <c r="F245" s="166"/>
      <c r="G245" s="167"/>
      <c r="H245" s="166"/>
      <c r="I245" s="167"/>
      <c r="J245" s="174">
        <f t="shared" si="41"/>
        <v>0</v>
      </c>
      <c r="K245" s="170"/>
      <c r="L245" s="166"/>
      <c r="M245" s="167"/>
      <c r="N245" s="166"/>
      <c r="O245" s="167"/>
      <c r="P245" s="166"/>
      <c r="Q245" s="167"/>
      <c r="R245" s="167"/>
      <c r="S245" s="185">
        <f t="shared" si="42"/>
        <v>0</v>
      </c>
      <c r="T245" s="185"/>
      <c r="U245" s="166"/>
      <c r="V245" s="167"/>
      <c r="W245" s="175">
        <f t="shared" si="43"/>
        <v>0</v>
      </c>
      <c r="X245" s="172">
        <f t="shared" si="44"/>
        <v>0</v>
      </c>
      <c r="Y245" s="172">
        <f t="shared" si="45"/>
        <v>0</v>
      </c>
    </row>
    <row r="246" spans="1:25" s="177" customFormat="1" ht="67.5">
      <c r="A246" s="163">
        <v>70</v>
      </c>
      <c r="B246" s="345" t="s">
        <v>1589</v>
      </c>
      <c r="C246" s="165">
        <v>8000</v>
      </c>
      <c r="D246" s="313">
        <f>ROUND(C246*30/31,0)</f>
        <v>7742</v>
      </c>
      <c r="E246" s="167"/>
      <c r="F246" s="166"/>
      <c r="G246" s="167"/>
      <c r="H246" s="166"/>
      <c r="I246" s="167"/>
      <c r="J246" s="174">
        <f t="shared" si="41"/>
        <v>7742</v>
      </c>
      <c r="K246" s="170"/>
      <c r="L246" s="166"/>
      <c r="M246" s="167"/>
      <c r="N246" s="166"/>
      <c r="O246" s="167"/>
      <c r="P246" s="166"/>
      <c r="Q246" s="167"/>
      <c r="R246" s="167"/>
      <c r="S246" s="185">
        <f t="shared" si="42"/>
        <v>929</v>
      </c>
      <c r="T246" s="185"/>
      <c r="U246" s="166"/>
      <c r="V246" s="167"/>
      <c r="W246" s="175">
        <f t="shared" si="43"/>
        <v>929</v>
      </c>
      <c r="X246" s="172">
        <f t="shared" si="44"/>
        <v>6813</v>
      </c>
      <c r="Y246" s="172">
        <f t="shared" si="45"/>
        <v>1054</v>
      </c>
    </row>
    <row r="247" spans="1:25" s="177" customFormat="1" ht="67.5">
      <c r="A247" s="163">
        <v>71</v>
      </c>
      <c r="B247" s="345" t="s">
        <v>1301</v>
      </c>
      <c r="C247" s="165">
        <v>8000</v>
      </c>
      <c r="D247" s="313">
        <f>C247</f>
        <v>8000</v>
      </c>
      <c r="E247" s="167"/>
      <c r="F247" s="166"/>
      <c r="G247" s="167"/>
      <c r="H247" s="166"/>
      <c r="I247" s="167"/>
      <c r="J247" s="174">
        <f t="shared" si="41"/>
        <v>8000</v>
      </c>
      <c r="K247" s="170"/>
      <c r="L247" s="166"/>
      <c r="M247" s="167"/>
      <c r="N247" s="166"/>
      <c r="O247" s="167"/>
      <c r="P247" s="166"/>
      <c r="Q247" s="167"/>
      <c r="R247" s="167"/>
      <c r="S247" s="185">
        <f t="shared" si="42"/>
        <v>960</v>
      </c>
      <c r="T247" s="185"/>
      <c r="U247" s="166"/>
      <c r="V247" s="167"/>
      <c r="W247" s="175">
        <f t="shared" si="43"/>
        <v>960</v>
      </c>
      <c r="X247" s="172">
        <f t="shared" si="44"/>
        <v>7040</v>
      </c>
      <c r="Y247" s="172">
        <f t="shared" si="45"/>
        <v>1089</v>
      </c>
    </row>
    <row r="248" spans="1:25" s="177" customFormat="1" ht="81">
      <c r="A248" s="163">
        <v>72</v>
      </c>
      <c r="B248" s="345" t="s">
        <v>1590</v>
      </c>
      <c r="C248" s="165">
        <v>8000</v>
      </c>
      <c r="D248" s="313">
        <f>ROUND(C248*11/31,0)</f>
        <v>2839</v>
      </c>
      <c r="E248" s="167"/>
      <c r="F248" s="166"/>
      <c r="G248" s="167"/>
      <c r="H248" s="166"/>
      <c r="I248" s="167"/>
      <c r="J248" s="174">
        <f t="shared" si="41"/>
        <v>2839</v>
      </c>
      <c r="K248" s="170"/>
      <c r="L248" s="166"/>
      <c r="M248" s="167"/>
      <c r="N248" s="166"/>
      <c r="O248" s="167"/>
      <c r="P248" s="166"/>
      <c r="Q248" s="167"/>
      <c r="R248" s="167"/>
      <c r="S248" s="185">
        <f t="shared" si="42"/>
        <v>341</v>
      </c>
      <c r="T248" s="185"/>
      <c r="U248" s="166"/>
      <c r="V248" s="167"/>
      <c r="W248" s="175">
        <f t="shared" si="43"/>
        <v>341</v>
      </c>
      <c r="X248" s="172">
        <f t="shared" si="44"/>
        <v>2498</v>
      </c>
      <c r="Y248" s="172">
        <f t="shared" si="45"/>
        <v>386</v>
      </c>
    </row>
    <row r="249" spans="1:25" s="177" customFormat="1" ht="67.5">
      <c r="A249" s="163">
        <v>73</v>
      </c>
      <c r="B249" s="345" t="s">
        <v>1310</v>
      </c>
      <c r="C249" s="165">
        <v>8000</v>
      </c>
      <c r="D249" s="313">
        <f aca="true" t="shared" si="46" ref="D249:D258">C249</f>
        <v>8000</v>
      </c>
      <c r="E249" s="167"/>
      <c r="F249" s="166"/>
      <c r="G249" s="167"/>
      <c r="H249" s="166"/>
      <c r="I249" s="167"/>
      <c r="J249" s="174">
        <f t="shared" si="41"/>
        <v>8000</v>
      </c>
      <c r="K249" s="170"/>
      <c r="L249" s="166"/>
      <c r="M249" s="167"/>
      <c r="N249" s="166"/>
      <c r="O249" s="167"/>
      <c r="P249" s="166"/>
      <c r="Q249" s="167"/>
      <c r="R249" s="167"/>
      <c r="S249" s="185">
        <f t="shared" si="42"/>
        <v>960</v>
      </c>
      <c r="T249" s="185"/>
      <c r="U249" s="166"/>
      <c r="V249" s="167"/>
      <c r="W249" s="175">
        <f t="shared" si="43"/>
        <v>960</v>
      </c>
      <c r="X249" s="172">
        <f t="shared" si="44"/>
        <v>7040</v>
      </c>
      <c r="Y249" s="172">
        <f t="shared" si="45"/>
        <v>1089</v>
      </c>
    </row>
    <row r="250" spans="1:25" s="177" customFormat="1" ht="67.5">
      <c r="A250" s="163">
        <v>74</v>
      </c>
      <c r="B250" s="345" t="s">
        <v>1591</v>
      </c>
      <c r="C250" s="165">
        <v>8000</v>
      </c>
      <c r="D250" s="313">
        <f>ROUND(C250*20/31,0)</f>
        <v>5161</v>
      </c>
      <c r="E250" s="167"/>
      <c r="F250" s="166"/>
      <c r="G250" s="167"/>
      <c r="H250" s="166"/>
      <c r="I250" s="167"/>
      <c r="J250" s="174">
        <f t="shared" si="41"/>
        <v>5161</v>
      </c>
      <c r="K250" s="170"/>
      <c r="L250" s="166"/>
      <c r="M250" s="167"/>
      <c r="N250" s="166"/>
      <c r="O250" s="167"/>
      <c r="P250" s="166"/>
      <c r="Q250" s="167"/>
      <c r="R250" s="167"/>
      <c r="S250" s="185">
        <f t="shared" si="42"/>
        <v>619</v>
      </c>
      <c r="T250" s="185"/>
      <c r="U250" s="166"/>
      <c r="V250" s="167"/>
      <c r="W250" s="175">
        <f t="shared" si="43"/>
        <v>619</v>
      </c>
      <c r="X250" s="172">
        <f t="shared" si="44"/>
        <v>4542</v>
      </c>
      <c r="Y250" s="172">
        <f t="shared" si="45"/>
        <v>702</v>
      </c>
    </row>
    <row r="251" spans="1:25" s="177" customFormat="1" ht="67.5">
      <c r="A251" s="163">
        <v>75</v>
      </c>
      <c r="B251" s="345" t="s">
        <v>1302</v>
      </c>
      <c r="C251" s="165">
        <v>8000</v>
      </c>
      <c r="D251" s="313">
        <f t="shared" si="46"/>
        <v>8000</v>
      </c>
      <c r="E251" s="167"/>
      <c r="F251" s="166"/>
      <c r="G251" s="167"/>
      <c r="H251" s="166"/>
      <c r="I251" s="167"/>
      <c r="J251" s="174">
        <f t="shared" si="41"/>
        <v>8000</v>
      </c>
      <c r="K251" s="170"/>
      <c r="L251" s="166"/>
      <c r="M251" s="167"/>
      <c r="N251" s="166"/>
      <c r="O251" s="167"/>
      <c r="P251" s="166"/>
      <c r="Q251" s="167"/>
      <c r="R251" s="167"/>
      <c r="S251" s="185">
        <f t="shared" si="42"/>
        <v>960</v>
      </c>
      <c r="T251" s="185"/>
      <c r="U251" s="166"/>
      <c r="V251" s="167"/>
      <c r="W251" s="175">
        <f t="shared" si="43"/>
        <v>960</v>
      </c>
      <c r="X251" s="172">
        <f t="shared" si="44"/>
        <v>7040</v>
      </c>
      <c r="Y251" s="172">
        <f t="shared" si="45"/>
        <v>1089</v>
      </c>
    </row>
    <row r="252" spans="1:25" s="177" customFormat="1" ht="67.5">
      <c r="A252" s="163">
        <v>76</v>
      </c>
      <c r="B252" s="345" t="s">
        <v>1303</v>
      </c>
      <c r="C252" s="165">
        <v>8000</v>
      </c>
      <c r="D252" s="313">
        <f t="shared" si="46"/>
        <v>8000</v>
      </c>
      <c r="E252" s="167"/>
      <c r="F252" s="166"/>
      <c r="G252" s="167"/>
      <c r="H252" s="166"/>
      <c r="I252" s="167"/>
      <c r="J252" s="174">
        <f t="shared" si="41"/>
        <v>8000</v>
      </c>
      <c r="K252" s="170"/>
      <c r="L252" s="166"/>
      <c r="M252" s="167"/>
      <c r="N252" s="166"/>
      <c r="O252" s="167"/>
      <c r="P252" s="166"/>
      <c r="Q252" s="167"/>
      <c r="R252" s="167"/>
      <c r="S252" s="185">
        <f t="shared" si="42"/>
        <v>960</v>
      </c>
      <c r="T252" s="185"/>
      <c r="U252" s="166"/>
      <c r="V252" s="167"/>
      <c r="W252" s="175">
        <f t="shared" si="43"/>
        <v>960</v>
      </c>
      <c r="X252" s="172">
        <f t="shared" si="44"/>
        <v>7040</v>
      </c>
      <c r="Y252" s="172">
        <f t="shared" si="45"/>
        <v>1089</v>
      </c>
    </row>
    <row r="253" spans="1:25" s="177" customFormat="1" ht="81">
      <c r="A253" s="163">
        <v>77</v>
      </c>
      <c r="B253" s="345" t="s">
        <v>1328</v>
      </c>
      <c r="C253" s="165">
        <v>8000</v>
      </c>
      <c r="D253" s="313">
        <f t="shared" si="46"/>
        <v>8000</v>
      </c>
      <c r="E253" s="167"/>
      <c r="F253" s="166"/>
      <c r="G253" s="167"/>
      <c r="H253" s="166"/>
      <c r="I253" s="167"/>
      <c r="J253" s="174">
        <f t="shared" si="41"/>
        <v>8000</v>
      </c>
      <c r="K253" s="170"/>
      <c r="L253" s="166"/>
      <c r="M253" s="167"/>
      <c r="N253" s="166"/>
      <c r="O253" s="167"/>
      <c r="P253" s="166"/>
      <c r="Q253" s="167"/>
      <c r="R253" s="167"/>
      <c r="S253" s="185">
        <f t="shared" si="42"/>
        <v>960</v>
      </c>
      <c r="T253" s="185"/>
      <c r="U253" s="166"/>
      <c r="V253" s="167"/>
      <c r="W253" s="175">
        <f t="shared" si="43"/>
        <v>960</v>
      </c>
      <c r="X253" s="172">
        <f t="shared" si="44"/>
        <v>7040</v>
      </c>
      <c r="Y253" s="172">
        <f t="shared" si="45"/>
        <v>1089</v>
      </c>
    </row>
    <row r="254" spans="1:25" s="177" customFormat="1" ht="67.5">
      <c r="A254" s="163">
        <v>78</v>
      </c>
      <c r="B254" s="345" t="s">
        <v>1304</v>
      </c>
      <c r="C254" s="165">
        <v>8000</v>
      </c>
      <c r="D254" s="313">
        <f t="shared" si="46"/>
        <v>8000</v>
      </c>
      <c r="E254" s="167"/>
      <c r="F254" s="166"/>
      <c r="G254" s="167"/>
      <c r="H254" s="166"/>
      <c r="I254" s="167"/>
      <c r="J254" s="174">
        <f t="shared" si="41"/>
        <v>8000</v>
      </c>
      <c r="K254" s="170"/>
      <c r="L254" s="166"/>
      <c r="M254" s="167"/>
      <c r="N254" s="166"/>
      <c r="O254" s="167"/>
      <c r="P254" s="166"/>
      <c r="Q254" s="167"/>
      <c r="R254" s="167"/>
      <c r="S254" s="185">
        <f t="shared" si="42"/>
        <v>960</v>
      </c>
      <c r="T254" s="185"/>
      <c r="U254" s="166"/>
      <c r="V254" s="167"/>
      <c r="W254" s="175">
        <f t="shared" si="43"/>
        <v>960</v>
      </c>
      <c r="X254" s="172">
        <f t="shared" si="44"/>
        <v>7040</v>
      </c>
      <c r="Y254" s="172">
        <f t="shared" si="45"/>
        <v>1089</v>
      </c>
    </row>
    <row r="255" spans="1:25" s="177" customFormat="1" ht="67.5">
      <c r="A255" s="163">
        <v>79</v>
      </c>
      <c r="B255" s="345" t="s">
        <v>1305</v>
      </c>
      <c r="C255" s="165">
        <v>8000</v>
      </c>
      <c r="D255" s="313">
        <f t="shared" si="46"/>
        <v>8000</v>
      </c>
      <c r="E255" s="167"/>
      <c r="F255" s="166"/>
      <c r="G255" s="167"/>
      <c r="H255" s="166"/>
      <c r="I255" s="167"/>
      <c r="J255" s="174">
        <f t="shared" si="41"/>
        <v>8000</v>
      </c>
      <c r="K255" s="170"/>
      <c r="L255" s="166"/>
      <c r="M255" s="167"/>
      <c r="N255" s="166"/>
      <c r="O255" s="167"/>
      <c r="P255" s="166"/>
      <c r="Q255" s="167"/>
      <c r="R255" s="167"/>
      <c r="S255" s="185">
        <f t="shared" si="42"/>
        <v>960</v>
      </c>
      <c r="T255" s="185"/>
      <c r="U255" s="166"/>
      <c r="V255" s="167"/>
      <c r="W255" s="175">
        <f t="shared" si="43"/>
        <v>960</v>
      </c>
      <c r="X255" s="172">
        <f t="shared" si="44"/>
        <v>7040</v>
      </c>
      <c r="Y255" s="172">
        <f t="shared" si="45"/>
        <v>1089</v>
      </c>
    </row>
    <row r="256" spans="1:25" s="177" customFormat="1" ht="54">
      <c r="A256" s="163">
        <v>80</v>
      </c>
      <c r="B256" s="332" t="s">
        <v>1413</v>
      </c>
      <c r="C256" s="165">
        <v>8000</v>
      </c>
      <c r="D256" s="313">
        <f t="shared" si="46"/>
        <v>8000</v>
      </c>
      <c r="E256" s="167"/>
      <c r="F256" s="166"/>
      <c r="G256" s="167"/>
      <c r="H256" s="166"/>
      <c r="I256" s="167"/>
      <c r="J256" s="174">
        <f t="shared" si="41"/>
        <v>8000</v>
      </c>
      <c r="K256" s="170"/>
      <c r="L256" s="166"/>
      <c r="M256" s="167"/>
      <c r="N256" s="166"/>
      <c r="O256" s="167"/>
      <c r="P256" s="166"/>
      <c r="Q256" s="167"/>
      <c r="R256" s="167"/>
      <c r="S256" s="185">
        <f t="shared" si="42"/>
        <v>960</v>
      </c>
      <c r="T256" s="185"/>
      <c r="U256" s="166"/>
      <c r="V256" s="167"/>
      <c r="W256" s="175">
        <f t="shared" si="43"/>
        <v>960</v>
      </c>
      <c r="X256" s="172">
        <f t="shared" si="44"/>
        <v>7040</v>
      </c>
      <c r="Y256" s="172">
        <f t="shared" si="45"/>
        <v>1089</v>
      </c>
    </row>
    <row r="257" spans="1:25" s="177" customFormat="1" ht="67.5">
      <c r="A257" s="163">
        <v>81</v>
      </c>
      <c r="B257" s="332" t="s">
        <v>1592</v>
      </c>
      <c r="C257" s="165">
        <v>8000</v>
      </c>
      <c r="D257" s="313">
        <f>ROUND(C257*30/31,0)</f>
        <v>7742</v>
      </c>
      <c r="E257" s="167"/>
      <c r="F257" s="166"/>
      <c r="G257" s="167"/>
      <c r="H257" s="166"/>
      <c r="I257" s="167"/>
      <c r="J257" s="174">
        <f t="shared" si="41"/>
        <v>7742</v>
      </c>
      <c r="K257" s="170"/>
      <c r="L257" s="166"/>
      <c r="M257" s="167"/>
      <c r="N257" s="166"/>
      <c r="O257" s="167"/>
      <c r="P257" s="166"/>
      <c r="Q257" s="167"/>
      <c r="R257" s="167"/>
      <c r="S257" s="185">
        <f t="shared" si="42"/>
        <v>929</v>
      </c>
      <c r="T257" s="185"/>
      <c r="U257" s="166"/>
      <c r="V257" s="167"/>
      <c r="W257" s="175">
        <f t="shared" si="43"/>
        <v>929</v>
      </c>
      <c r="X257" s="172">
        <f t="shared" si="44"/>
        <v>6813</v>
      </c>
      <c r="Y257" s="172">
        <f t="shared" si="45"/>
        <v>1054</v>
      </c>
    </row>
    <row r="258" spans="1:25" s="177" customFormat="1" ht="67.5">
      <c r="A258" s="163">
        <v>82</v>
      </c>
      <c r="B258" s="332" t="s">
        <v>1414</v>
      </c>
      <c r="C258" s="165">
        <v>8000</v>
      </c>
      <c r="D258" s="313">
        <f t="shared" si="46"/>
        <v>8000</v>
      </c>
      <c r="E258" s="167"/>
      <c r="F258" s="166"/>
      <c r="G258" s="167"/>
      <c r="H258" s="166"/>
      <c r="I258" s="167"/>
      <c r="J258" s="174">
        <f t="shared" si="41"/>
        <v>8000</v>
      </c>
      <c r="K258" s="170"/>
      <c r="L258" s="166"/>
      <c r="M258" s="167"/>
      <c r="N258" s="166"/>
      <c r="O258" s="167"/>
      <c r="P258" s="166"/>
      <c r="Q258" s="167"/>
      <c r="R258" s="167"/>
      <c r="S258" s="185">
        <f t="shared" si="42"/>
        <v>960</v>
      </c>
      <c r="T258" s="185"/>
      <c r="U258" s="166"/>
      <c r="V258" s="167"/>
      <c r="W258" s="175">
        <f t="shared" si="43"/>
        <v>960</v>
      </c>
      <c r="X258" s="172">
        <f t="shared" si="44"/>
        <v>7040</v>
      </c>
      <c r="Y258" s="172">
        <f t="shared" si="45"/>
        <v>1089</v>
      </c>
    </row>
    <row r="259" spans="1:25" s="177" customFormat="1" ht="54">
      <c r="A259" s="163">
        <v>83</v>
      </c>
      <c r="B259" s="332" t="s">
        <v>1447</v>
      </c>
      <c r="C259" s="165">
        <v>8000</v>
      </c>
      <c r="D259" s="313">
        <f>8000</f>
        <v>8000</v>
      </c>
      <c r="E259" s="167"/>
      <c r="F259" s="166"/>
      <c r="G259" s="167"/>
      <c r="H259" s="166"/>
      <c r="I259" s="167"/>
      <c r="J259" s="174">
        <f t="shared" si="41"/>
        <v>8000</v>
      </c>
      <c r="K259" s="170"/>
      <c r="L259" s="166"/>
      <c r="M259" s="167"/>
      <c r="N259" s="166"/>
      <c r="O259" s="167"/>
      <c r="P259" s="166"/>
      <c r="Q259" s="167"/>
      <c r="R259" s="167"/>
      <c r="S259" s="185">
        <f t="shared" si="42"/>
        <v>960</v>
      </c>
      <c r="T259" s="185"/>
      <c r="U259" s="166"/>
      <c r="V259" s="167"/>
      <c r="W259" s="175">
        <f t="shared" si="43"/>
        <v>960</v>
      </c>
      <c r="X259" s="172">
        <f t="shared" si="44"/>
        <v>7040</v>
      </c>
      <c r="Y259" s="172">
        <f t="shared" si="45"/>
        <v>1089</v>
      </c>
    </row>
    <row r="260" spans="1:25" s="177" customFormat="1" ht="45">
      <c r="A260" s="178" t="s">
        <v>248</v>
      </c>
      <c r="B260" s="321" t="s">
        <v>29</v>
      </c>
      <c r="C260" s="180"/>
      <c r="D260" s="169"/>
      <c r="E260" s="168"/>
      <c r="F260" s="169"/>
      <c r="G260" s="168"/>
      <c r="H260" s="169"/>
      <c r="I260" s="168"/>
      <c r="J260" s="174">
        <f t="shared" si="33"/>
        <v>0</v>
      </c>
      <c r="K260" s="170"/>
      <c r="L260" s="166"/>
      <c r="M260" s="167"/>
      <c r="N260" s="166"/>
      <c r="O260" s="167"/>
      <c r="P260" s="166"/>
      <c r="Q260" s="167"/>
      <c r="R260" s="167"/>
      <c r="S260" s="170"/>
      <c r="T260" s="170"/>
      <c r="U260" s="166"/>
      <c r="V260" s="167"/>
      <c r="W260" s="175">
        <f t="shared" si="34"/>
        <v>0</v>
      </c>
      <c r="X260" s="172">
        <f t="shared" si="35"/>
        <v>0</v>
      </c>
      <c r="Y260" s="188"/>
    </row>
    <row r="261" spans="1:25" s="177" customFormat="1" ht="15">
      <c r="A261" s="163">
        <v>1</v>
      </c>
      <c r="B261" s="186" t="s">
        <v>11</v>
      </c>
      <c r="C261" s="165">
        <v>10913</v>
      </c>
      <c r="D261" s="169">
        <f aca="true" t="shared" si="47" ref="D261:D290">ROUND(14550*75%,0)</f>
        <v>10913</v>
      </c>
      <c r="E261" s="168"/>
      <c r="F261" s="169"/>
      <c r="G261" s="168"/>
      <c r="H261" s="169"/>
      <c r="I261" s="168"/>
      <c r="J261" s="174">
        <f t="shared" si="33"/>
        <v>10913</v>
      </c>
      <c r="K261" s="170">
        <v>0</v>
      </c>
      <c r="L261" s="166"/>
      <c r="M261" s="167"/>
      <c r="N261" s="166"/>
      <c r="O261" s="167"/>
      <c r="P261" s="166"/>
      <c r="Q261" s="167"/>
      <c r="R261" s="167"/>
      <c r="S261" s="185">
        <f>ROUND(J261*12/100,0)</f>
        <v>1310</v>
      </c>
      <c r="T261" s="185"/>
      <c r="U261" s="166"/>
      <c r="V261" s="167"/>
      <c r="W261" s="175">
        <f t="shared" si="34"/>
        <v>1310</v>
      </c>
      <c r="X261" s="172">
        <f t="shared" si="35"/>
        <v>9603</v>
      </c>
      <c r="Y261" s="172">
        <f>ROUND(J261*13.61/100,0)</f>
        <v>1485</v>
      </c>
    </row>
    <row r="262" spans="1:25" s="177" customFormat="1" ht="15">
      <c r="A262" s="163">
        <v>2</v>
      </c>
      <c r="B262" s="164" t="s">
        <v>1280</v>
      </c>
      <c r="C262" s="165">
        <v>10913</v>
      </c>
      <c r="D262" s="166">
        <f t="shared" si="47"/>
        <v>10913</v>
      </c>
      <c r="E262" s="167"/>
      <c r="F262" s="166"/>
      <c r="G262" s="167"/>
      <c r="H262" s="166"/>
      <c r="I262" s="167"/>
      <c r="J262" s="174">
        <f t="shared" si="33"/>
        <v>10913</v>
      </c>
      <c r="K262" s="170">
        <v>0</v>
      </c>
      <c r="L262" s="166"/>
      <c r="M262" s="167"/>
      <c r="N262" s="166"/>
      <c r="O262" s="167"/>
      <c r="P262" s="166"/>
      <c r="Q262" s="167"/>
      <c r="R262" s="167"/>
      <c r="S262" s="185">
        <f>ROUND(J262*12/100,0)</f>
        <v>1310</v>
      </c>
      <c r="T262" s="185"/>
      <c r="U262" s="166"/>
      <c r="V262" s="167"/>
      <c r="W262" s="175">
        <f t="shared" si="34"/>
        <v>1310</v>
      </c>
      <c r="X262" s="172">
        <f t="shared" si="35"/>
        <v>9603</v>
      </c>
      <c r="Y262" s="172">
        <f>ROUND(J262*13.61/100,0)</f>
        <v>1485</v>
      </c>
    </row>
    <row r="263" spans="1:25" s="177" customFormat="1" ht="27">
      <c r="A263" s="163">
        <v>3</v>
      </c>
      <c r="B263" s="164" t="s">
        <v>12</v>
      </c>
      <c r="C263" s="165">
        <v>10913</v>
      </c>
      <c r="D263" s="166">
        <f t="shared" si="47"/>
        <v>10913</v>
      </c>
      <c r="E263" s="167"/>
      <c r="F263" s="166"/>
      <c r="G263" s="167"/>
      <c r="H263" s="166"/>
      <c r="I263" s="167"/>
      <c r="J263" s="174">
        <f t="shared" si="33"/>
        <v>10913</v>
      </c>
      <c r="K263" s="170">
        <v>0</v>
      </c>
      <c r="L263" s="166"/>
      <c r="M263" s="167"/>
      <c r="N263" s="166"/>
      <c r="O263" s="167"/>
      <c r="P263" s="166"/>
      <c r="Q263" s="167"/>
      <c r="R263" s="167"/>
      <c r="S263" s="185">
        <f>ROUND(J263*12/100,0)</f>
        <v>1310</v>
      </c>
      <c r="T263" s="185"/>
      <c r="U263" s="166"/>
      <c r="V263" s="167"/>
      <c r="W263" s="175">
        <f t="shared" si="34"/>
        <v>1310</v>
      </c>
      <c r="X263" s="172">
        <f t="shared" si="35"/>
        <v>9603</v>
      </c>
      <c r="Y263" s="172">
        <f>ROUND(J263*13.61/100,0)</f>
        <v>1485</v>
      </c>
    </row>
    <row r="264" spans="1:25" s="177" customFormat="1" ht="30">
      <c r="A264" s="163"/>
      <c r="B264" s="183" t="s">
        <v>1118</v>
      </c>
      <c r="C264" s="165"/>
      <c r="D264" s="166"/>
      <c r="E264" s="167"/>
      <c r="F264" s="166"/>
      <c r="G264" s="167"/>
      <c r="H264" s="166"/>
      <c r="I264" s="167"/>
      <c r="J264" s="174"/>
      <c r="K264" s="170"/>
      <c r="L264" s="166"/>
      <c r="M264" s="167"/>
      <c r="N264" s="166"/>
      <c r="O264" s="167"/>
      <c r="P264" s="166"/>
      <c r="Q264" s="167"/>
      <c r="R264" s="167"/>
      <c r="S264" s="185"/>
      <c r="T264" s="185"/>
      <c r="U264" s="166"/>
      <c r="V264" s="167"/>
      <c r="W264" s="175"/>
      <c r="X264" s="172"/>
      <c r="Y264" s="172"/>
    </row>
    <row r="265" spans="1:25" s="177" customFormat="1" ht="67.5">
      <c r="A265" s="163">
        <v>1</v>
      </c>
      <c r="B265" s="186" t="s">
        <v>1475</v>
      </c>
      <c r="C265" s="165">
        <v>8000</v>
      </c>
      <c r="D265" s="166">
        <f>ROUND(C265*30/31,0)</f>
        <v>7742</v>
      </c>
      <c r="E265" s="167"/>
      <c r="F265" s="166"/>
      <c r="G265" s="167"/>
      <c r="H265" s="166"/>
      <c r="I265" s="167"/>
      <c r="J265" s="174">
        <f t="shared" si="33"/>
        <v>7742</v>
      </c>
      <c r="K265" s="170">
        <v>0</v>
      </c>
      <c r="L265" s="166"/>
      <c r="M265" s="167"/>
      <c r="N265" s="166"/>
      <c r="O265" s="167"/>
      <c r="P265" s="166"/>
      <c r="Q265" s="167"/>
      <c r="R265" s="167"/>
      <c r="S265" s="185">
        <f>ROUND(J265*12/100,0)</f>
        <v>929</v>
      </c>
      <c r="T265" s="185"/>
      <c r="U265" s="166"/>
      <c r="V265" s="167"/>
      <c r="W265" s="175">
        <f t="shared" si="34"/>
        <v>929</v>
      </c>
      <c r="X265" s="172">
        <f t="shared" si="35"/>
        <v>6813</v>
      </c>
      <c r="Y265" s="172">
        <f>ROUND(J265*13.61/100,0)</f>
        <v>1054</v>
      </c>
    </row>
    <row r="266" spans="1:25" s="177" customFormat="1" ht="15">
      <c r="A266" s="163" t="s">
        <v>250</v>
      </c>
      <c r="B266" s="179" t="s">
        <v>1057</v>
      </c>
      <c r="C266" s="165"/>
      <c r="D266" s="166"/>
      <c r="E266" s="167"/>
      <c r="F266" s="166"/>
      <c r="G266" s="167"/>
      <c r="H266" s="166"/>
      <c r="I266" s="167"/>
      <c r="J266" s="174">
        <f aca="true" t="shared" si="48" ref="J266:J272">SUM(D266:I266)</f>
        <v>0</v>
      </c>
      <c r="K266" s="170"/>
      <c r="L266" s="166"/>
      <c r="M266" s="167"/>
      <c r="N266" s="166"/>
      <c r="O266" s="167"/>
      <c r="P266" s="166"/>
      <c r="Q266" s="167"/>
      <c r="R266" s="167"/>
      <c r="S266" s="170"/>
      <c r="T266" s="170"/>
      <c r="U266" s="166"/>
      <c r="V266" s="167"/>
      <c r="W266" s="175"/>
      <c r="X266" s="172">
        <f>J266-W266</f>
        <v>0</v>
      </c>
      <c r="Y266" s="172"/>
    </row>
    <row r="267" spans="1:25" s="177" customFormat="1" ht="67.5">
      <c r="A267" s="163">
        <v>1</v>
      </c>
      <c r="B267" s="186" t="s">
        <v>1391</v>
      </c>
      <c r="C267" s="165">
        <v>10000</v>
      </c>
      <c r="D267" s="166">
        <v>10000</v>
      </c>
      <c r="E267" s="167"/>
      <c r="F267" s="166"/>
      <c r="G267" s="167"/>
      <c r="H267" s="166"/>
      <c r="I267" s="167"/>
      <c r="J267" s="174">
        <f t="shared" si="33"/>
        <v>10000</v>
      </c>
      <c r="K267" s="170">
        <v>0</v>
      </c>
      <c r="L267" s="166"/>
      <c r="M267" s="167"/>
      <c r="N267" s="166"/>
      <c r="O267" s="167"/>
      <c r="P267" s="166"/>
      <c r="Q267" s="167"/>
      <c r="R267" s="167"/>
      <c r="S267" s="185">
        <f>ROUND(J267*12/100,0)</f>
        <v>1200</v>
      </c>
      <c r="T267" s="170"/>
      <c r="U267" s="166"/>
      <c r="V267" s="167"/>
      <c r="W267" s="175">
        <f t="shared" si="34"/>
        <v>1200</v>
      </c>
      <c r="X267" s="172">
        <f t="shared" si="35"/>
        <v>8800</v>
      </c>
      <c r="Y267" s="172">
        <f>ROUND(J267*13.61/100,0)</f>
        <v>1361</v>
      </c>
    </row>
    <row r="268" spans="1:25" s="177" customFormat="1" ht="15">
      <c r="A268" s="163"/>
      <c r="B268" s="179" t="s">
        <v>1193</v>
      </c>
      <c r="C268" s="165"/>
      <c r="D268" s="166"/>
      <c r="E268" s="167"/>
      <c r="F268" s="166"/>
      <c r="G268" s="167"/>
      <c r="H268" s="166"/>
      <c r="I268" s="167"/>
      <c r="J268" s="174"/>
      <c r="K268" s="170"/>
      <c r="L268" s="166"/>
      <c r="M268" s="167"/>
      <c r="N268" s="166"/>
      <c r="O268" s="167"/>
      <c r="P268" s="166"/>
      <c r="Q268" s="167"/>
      <c r="R268" s="167"/>
      <c r="S268" s="185"/>
      <c r="T268" s="170"/>
      <c r="U268" s="166"/>
      <c r="V268" s="167"/>
      <c r="W268" s="175"/>
      <c r="X268" s="172"/>
      <c r="Y268" s="172"/>
    </row>
    <row r="269" spans="1:25" s="177" customFormat="1" ht="67.5">
      <c r="A269" s="163">
        <v>2</v>
      </c>
      <c r="B269" s="186" t="s">
        <v>1222</v>
      </c>
      <c r="C269" s="165">
        <v>8000</v>
      </c>
      <c r="D269" s="166">
        <f>C269</f>
        <v>8000</v>
      </c>
      <c r="E269" s="167"/>
      <c r="F269" s="166"/>
      <c r="G269" s="167"/>
      <c r="H269" s="166"/>
      <c r="I269" s="167"/>
      <c r="J269" s="174">
        <f t="shared" si="33"/>
        <v>8000</v>
      </c>
      <c r="K269" s="170">
        <v>0</v>
      </c>
      <c r="L269" s="166"/>
      <c r="M269" s="167"/>
      <c r="N269" s="166"/>
      <c r="O269" s="167"/>
      <c r="P269" s="166"/>
      <c r="Q269" s="167"/>
      <c r="R269" s="167"/>
      <c r="S269" s="185">
        <f>ROUND(J269*12/100,0)</f>
        <v>960</v>
      </c>
      <c r="T269" s="185"/>
      <c r="U269" s="166"/>
      <c r="V269" s="167"/>
      <c r="W269" s="175">
        <f t="shared" si="34"/>
        <v>960</v>
      </c>
      <c r="X269" s="172">
        <f t="shared" si="35"/>
        <v>7040</v>
      </c>
      <c r="Y269" s="172">
        <f>ROUND(J269*13.61/100,0)</f>
        <v>1089</v>
      </c>
    </row>
    <row r="270" spans="1:25" ht="15">
      <c r="A270" s="178" t="s">
        <v>353</v>
      </c>
      <c r="B270" s="183" t="s">
        <v>317</v>
      </c>
      <c r="C270" s="180"/>
      <c r="D270" s="169"/>
      <c r="E270" s="168"/>
      <c r="F270" s="169"/>
      <c r="G270" s="168"/>
      <c r="H270" s="169"/>
      <c r="I270" s="168"/>
      <c r="J270" s="174">
        <f t="shared" si="48"/>
        <v>0</v>
      </c>
      <c r="K270" s="170"/>
      <c r="L270" s="166"/>
      <c r="M270" s="167"/>
      <c r="N270" s="166"/>
      <c r="O270" s="167"/>
      <c r="P270" s="166"/>
      <c r="Q270" s="167"/>
      <c r="R270" s="167"/>
      <c r="S270" s="170"/>
      <c r="T270" s="170"/>
      <c r="U270" s="166"/>
      <c r="V270" s="167"/>
      <c r="W270" s="175"/>
      <c r="X270" s="172">
        <f>J270-W270</f>
        <v>0</v>
      </c>
      <c r="Y270" s="173"/>
    </row>
    <row r="271" spans="1:25" s="177" customFormat="1" ht="15">
      <c r="A271" s="163">
        <v>1</v>
      </c>
      <c r="B271" s="164" t="s">
        <v>1133</v>
      </c>
      <c r="C271" s="165">
        <v>17650</v>
      </c>
      <c r="D271" s="166">
        <f>C271</f>
        <v>17650</v>
      </c>
      <c r="E271" s="167">
        <f>ROUND(D271*32.5%,0)</f>
        <v>5736</v>
      </c>
      <c r="F271" s="166">
        <f>ROUND(D271*10%,0)</f>
        <v>1765</v>
      </c>
      <c r="G271" s="167">
        <v>100</v>
      </c>
      <c r="H271" s="166"/>
      <c r="I271" s="167"/>
      <c r="J271" s="174">
        <f t="shared" si="33"/>
        <v>25251</v>
      </c>
      <c r="K271" s="170">
        <v>200</v>
      </c>
      <c r="L271" s="166">
        <f>F271</f>
        <v>1765</v>
      </c>
      <c r="M271" s="167"/>
      <c r="N271" s="166">
        <v>42</v>
      </c>
      <c r="O271" s="167"/>
      <c r="P271" s="166">
        <v>20</v>
      </c>
      <c r="Q271" s="167"/>
      <c r="R271" s="167"/>
      <c r="S271" s="170"/>
      <c r="T271" s="170">
        <v>120</v>
      </c>
      <c r="U271" s="166">
        <v>510</v>
      </c>
      <c r="V271" s="167">
        <v>993</v>
      </c>
      <c r="W271" s="175">
        <f t="shared" si="34"/>
        <v>3650</v>
      </c>
      <c r="X271" s="172">
        <f t="shared" si="35"/>
        <v>21601</v>
      </c>
      <c r="Y271" s="172"/>
    </row>
    <row r="272" spans="1:25" ht="30">
      <c r="A272" s="178"/>
      <c r="B272" s="183" t="s">
        <v>34</v>
      </c>
      <c r="C272" s="180"/>
      <c r="D272" s="169"/>
      <c r="E272" s="168"/>
      <c r="F272" s="169"/>
      <c r="G272" s="168"/>
      <c r="H272" s="169"/>
      <c r="I272" s="168"/>
      <c r="J272" s="174">
        <f t="shared" si="48"/>
        <v>0</v>
      </c>
      <c r="K272" s="170"/>
      <c r="L272" s="166"/>
      <c r="M272" s="167"/>
      <c r="N272" s="166"/>
      <c r="O272" s="167"/>
      <c r="P272" s="166"/>
      <c r="Q272" s="167"/>
      <c r="R272" s="167"/>
      <c r="S272" s="170"/>
      <c r="T272" s="170"/>
      <c r="U272" s="166"/>
      <c r="V272" s="167"/>
      <c r="W272" s="175"/>
      <c r="X272" s="172">
        <f>J272-W272</f>
        <v>0</v>
      </c>
      <c r="Y272" s="173"/>
    </row>
    <row r="273" spans="1:25" s="177" customFormat="1" ht="15">
      <c r="A273" s="163">
        <v>2</v>
      </c>
      <c r="B273" s="164" t="s">
        <v>142</v>
      </c>
      <c r="C273" s="165">
        <v>10913</v>
      </c>
      <c r="D273" s="166">
        <v>10913</v>
      </c>
      <c r="E273" s="167"/>
      <c r="F273" s="166"/>
      <c r="G273" s="167"/>
      <c r="H273" s="166"/>
      <c r="I273" s="167"/>
      <c r="J273" s="174">
        <f t="shared" si="33"/>
        <v>10913</v>
      </c>
      <c r="K273" s="170">
        <v>0</v>
      </c>
      <c r="L273" s="166">
        <v>1091</v>
      </c>
      <c r="M273" s="167"/>
      <c r="N273" s="166">
        <v>80</v>
      </c>
      <c r="O273" s="167"/>
      <c r="P273" s="166">
        <v>20</v>
      </c>
      <c r="Q273" s="167"/>
      <c r="R273" s="167"/>
      <c r="S273" s="185">
        <f aca="true" t="shared" si="49" ref="S273:S290">ROUND(J273*12/100,0)</f>
        <v>1310</v>
      </c>
      <c r="T273" s="185"/>
      <c r="U273" s="166"/>
      <c r="V273" s="167"/>
      <c r="W273" s="175">
        <f t="shared" si="34"/>
        <v>2501</v>
      </c>
      <c r="X273" s="172">
        <f t="shared" si="35"/>
        <v>8412</v>
      </c>
      <c r="Y273" s="172">
        <f aca="true" t="shared" si="50" ref="Y273:Y290">ROUND(J273*13.61/100,0)</f>
        <v>1485</v>
      </c>
    </row>
    <row r="274" spans="1:25" ht="15">
      <c r="A274" s="163">
        <v>3</v>
      </c>
      <c r="B274" s="186" t="s">
        <v>101</v>
      </c>
      <c r="C274" s="165">
        <v>10913</v>
      </c>
      <c r="D274" s="169">
        <f t="shared" si="47"/>
        <v>10913</v>
      </c>
      <c r="E274" s="168"/>
      <c r="F274" s="169"/>
      <c r="G274" s="168"/>
      <c r="H274" s="169"/>
      <c r="I274" s="168"/>
      <c r="J274" s="174">
        <f t="shared" si="33"/>
        <v>10913</v>
      </c>
      <c r="K274" s="170">
        <v>0</v>
      </c>
      <c r="L274" s="166">
        <f>ROUND(D274*10%,0)</f>
        <v>1091</v>
      </c>
      <c r="M274" s="167"/>
      <c r="N274" s="166">
        <v>80</v>
      </c>
      <c r="O274" s="167"/>
      <c r="P274" s="166">
        <v>20</v>
      </c>
      <c r="Q274" s="167"/>
      <c r="R274" s="167"/>
      <c r="S274" s="185">
        <f t="shared" si="49"/>
        <v>1310</v>
      </c>
      <c r="T274" s="185"/>
      <c r="U274" s="166"/>
      <c r="V274" s="167"/>
      <c r="W274" s="175">
        <f t="shared" si="34"/>
        <v>2501</v>
      </c>
      <c r="X274" s="172">
        <f t="shared" si="35"/>
        <v>8412</v>
      </c>
      <c r="Y274" s="172">
        <f t="shared" si="50"/>
        <v>1485</v>
      </c>
    </row>
    <row r="275" spans="1:25" s="177" customFormat="1" ht="15">
      <c r="A275" s="163">
        <v>4</v>
      </c>
      <c r="B275" s="164" t="s">
        <v>141</v>
      </c>
      <c r="C275" s="165">
        <v>10913</v>
      </c>
      <c r="D275" s="166">
        <v>10913</v>
      </c>
      <c r="E275" s="167"/>
      <c r="F275" s="166"/>
      <c r="G275" s="167"/>
      <c r="H275" s="166"/>
      <c r="I275" s="167"/>
      <c r="J275" s="174">
        <f t="shared" si="33"/>
        <v>10913</v>
      </c>
      <c r="K275" s="170">
        <v>0</v>
      </c>
      <c r="L275" s="166">
        <v>1091</v>
      </c>
      <c r="M275" s="167"/>
      <c r="N275" s="166">
        <v>80</v>
      </c>
      <c r="O275" s="167"/>
      <c r="P275" s="166">
        <v>20</v>
      </c>
      <c r="Q275" s="167"/>
      <c r="R275" s="167"/>
      <c r="S275" s="185">
        <f t="shared" si="49"/>
        <v>1310</v>
      </c>
      <c r="T275" s="185"/>
      <c r="U275" s="166"/>
      <c r="V275" s="167"/>
      <c r="W275" s="175">
        <f t="shared" si="34"/>
        <v>2501</v>
      </c>
      <c r="X275" s="172">
        <f t="shared" si="35"/>
        <v>8412</v>
      </c>
      <c r="Y275" s="172">
        <f t="shared" si="50"/>
        <v>1485</v>
      </c>
    </row>
    <row r="276" spans="1:25" s="177" customFormat="1" ht="15">
      <c r="A276" s="163">
        <v>5</v>
      </c>
      <c r="B276" s="164" t="s">
        <v>102</v>
      </c>
      <c r="C276" s="165">
        <v>10913</v>
      </c>
      <c r="D276" s="169">
        <f t="shared" si="47"/>
        <v>10913</v>
      </c>
      <c r="E276" s="167"/>
      <c r="F276" s="166"/>
      <c r="G276" s="167"/>
      <c r="H276" s="166"/>
      <c r="I276" s="167"/>
      <c r="J276" s="174">
        <f t="shared" si="33"/>
        <v>10913</v>
      </c>
      <c r="K276" s="170">
        <v>0</v>
      </c>
      <c r="L276" s="166"/>
      <c r="M276" s="167"/>
      <c r="N276" s="166"/>
      <c r="O276" s="167"/>
      <c r="P276" s="166"/>
      <c r="Q276" s="167"/>
      <c r="R276" s="167"/>
      <c r="S276" s="185">
        <f t="shared" si="49"/>
        <v>1310</v>
      </c>
      <c r="T276" s="185"/>
      <c r="U276" s="166"/>
      <c r="V276" s="167"/>
      <c r="W276" s="175">
        <f t="shared" si="34"/>
        <v>1310</v>
      </c>
      <c r="X276" s="172">
        <f t="shared" si="35"/>
        <v>9603</v>
      </c>
      <c r="Y276" s="172">
        <f t="shared" si="50"/>
        <v>1485</v>
      </c>
    </row>
    <row r="277" spans="1:25" ht="15">
      <c r="A277" s="163">
        <v>6</v>
      </c>
      <c r="B277" s="186" t="s">
        <v>53</v>
      </c>
      <c r="C277" s="165">
        <v>10913</v>
      </c>
      <c r="D277" s="169">
        <f t="shared" si="47"/>
        <v>10913</v>
      </c>
      <c r="E277" s="168"/>
      <c r="F277" s="169"/>
      <c r="G277" s="168"/>
      <c r="H277" s="169"/>
      <c r="I277" s="168"/>
      <c r="J277" s="174">
        <f t="shared" si="33"/>
        <v>10913</v>
      </c>
      <c r="K277" s="170">
        <v>0</v>
      </c>
      <c r="L277" s="166">
        <f>ROUND(D277*10%,0)</f>
        <v>1091</v>
      </c>
      <c r="M277" s="167"/>
      <c r="N277" s="166"/>
      <c r="O277" s="167">
        <v>0</v>
      </c>
      <c r="P277" s="166"/>
      <c r="Q277" s="167"/>
      <c r="R277" s="167"/>
      <c r="S277" s="185">
        <f t="shared" si="49"/>
        <v>1310</v>
      </c>
      <c r="T277" s="185"/>
      <c r="U277" s="166"/>
      <c r="V277" s="167"/>
      <c r="W277" s="175">
        <f t="shared" si="34"/>
        <v>2401</v>
      </c>
      <c r="X277" s="172">
        <f t="shared" si="35"/>
        <v>8512</v>
      </c>
      <c r="Y277" s="172">
        <f t="shared" si="50"/>
        <v>1485</v>
      </c>
    </row>
    <row r="278" spans="1:25" s="177" customFormat="1" ht="15">
      <c r="A278" s="163">
        <v>7</v>
      </c>
      <c r="B278" s="164" t="s">
        <v>643</v>
      </c>
      <c r="C278" s="165">
        <v>10913</v>
      </c>
      <c r="D278" s="166">
        <f t="shared" si="47"/>
        <v>10913</v>
      </c>
      <c r="E278" s="167"/>
      <c r="F278" s="166"/>
      <c r="G278" s="167"/>
      <c r="H278" s="166"/>
      <c r="I278" s="167"/>
      <c r="J278" s="174">
        <f t="shared" si="33"/>
        <v>10913</v>
      </c>
      <c r="K278" s="170">
        <v>0</v>
      </c>
      <c r="L278" s="166"/>
      <c r="M278" s="167"/>
      <c r="N278" s="166"/>
      <c r="O278" s="167"/>
      <c r="P278" s="166"/>
      <c r="Q278" s="167"/>
      <c r="R278" s="167"/>
      <c r="S278" s="185">
        <f t="shared" si="49"/>
        <v>1310</v>
      </c>
      <c r="T278" s="185"/>
      <c r="U278" s="166"/>
      <c r="V278" s="167"/>
      <c r="W278" s="175">
        <f t="shared" si="34"/>
        <v>1310</v>
      </c>
      <c r="X278" s="172">
        <f t="shared" si="35"/>
        <v>9603</v>
      </c>
      <c r="Y278" s="172">
        <f t="shared" si="50"/>
        <v>1485</v>
      </c>
    </row>
    <row r="279" spans="1:25" ht="15">
      <c r="A279" s="163">
        <v>8</v>
      </c>
      <c r="B279" s="186" t="s">
        <v>507</v>
      </c>
      <c r="C279" s="165">
        <v>10913</v>
      </c>
      <c r="D279" s="169">
        <f t="shared" si="47"/>
        <v>10913</v>
      </c>
      <c r="E279" s="168"/>
      <c r="F279" s="169"/>
      <c r="G279" s="168"/>
      <c r="H279" s="169"/>
      <c r="I279" s="168"/>
      <c r="J279" s="174">
        <f t="shared" si="33"/>
        <v>10913</v>
      </c>
      <c r="K279" s="170">
        <v>0</v>
      </c>
      <c r="L279" s="166">
        <f>ROUND(D279*10/100,0)</f>
        <v>1091</v>
      </c>
      <c r="M279" s="167"/>
      <c r="N279" s="166"/>
      <c r="O279" s="167">
        <v>0</v>
      </c>
      <c r="P279" s="166"/>
      <c r="Q279" s="167"/>
      <c r="R279" s="167"/>
      <c r="S279" s="185">
        <f t="shared" si="49"/>
        <v>1310</v>
      </c>
      <c r="T279" s="185"/>
      <c r="U279" s="166"/>
      <c r="V279" s="167"/>
      <c r="W279" s="175">
        <f t="shared" si="34"/>
        <v>2401</v>
      </c>
      <c r="X279" s="172">
        <f t="shared" si="35"/>
        <v>8512</v>
      </c>
      <c r="Y279" s="172">
        <f t="shared" si="50"/>
        <v>1485</v>
      </c>
    </row>
    <row r="280" spans="1:25" ht="17.25" customHeight="1">
      <c r="A280" s="163">
        <v>9</v>
      </c>
      <c r="B280" s="186" t="s">
        <v>220</v>
      </c>
      <c r="C280" s="165">
        <v>10913</v>
      </c>
      <c r="D280" s="169">
        <f t="shared" si="47"/>
        <v>10913</v>
      </c>
      <c r="E280" s="168"/>
      <c r="F280" s="169"/>
      <c r="G280" s="168"/>
      <c r="H280" s="169"/>
      <c r="I280" s="168"/>
      <c r="J280" s="174">
        <f t="shared" si="33"/>
        <v>10913</v>
      </c>
      <c r="K280" s="170">
        <v>0</v>
      </c>
      <c r="L280" s="166"/>
      <c r="M280" s="167"/>
      <c r="N280" s="166"/>
      <c r="O280" s="167"/>
      <c r="P280" s="166"/>
      <c r="Q280" s="167"/>
      <c r="R280" s="167"/>
      <c r="S280" s="185">
        <f t="shared" si="49"/>
        <v>1310</v>
      </c>
      <c r="T280" s="185"/>
      <c r="U280" s="166"/>
      <c r="V280" s="167"/>
      <c r="W280" s="175">
        <f t="shared" si="34"/>
        <v>1310</v>
      </c>
      <c r="X280" s="172">
        <f t="shared" si="35"/>
        <v>9603</v>
      </c>
      <c r="Y280" s="172">
        <f t="shared" si="50"/>
        <v>1485</v>
      </c>
    </row>
    <row r="281" spans="1:25" ht="15">
      <c r="A281" s="163">
        <v>10</v>
      </c>
      <c r="B281" s="186" t="s">
        <v>54</v>
      </c>
      <c r="C281" s="165">
        <v>10913</v>
      </c>
      <c r="D281" s="169">
        <f t="shared" si="47"/>
        <v>10913</v>
      </c>
      <c r="E281" s="168"/>
      <c r="F281" s="169"/>
      <c r="G281" s="168"/>
      <c r="H281" s="169"/>
      <c r="I281" s="168"/>
      <c r="J281" s="174">
        <f t="shared" si="33"/>
        <v>10913</v>
      </c>
      <c r="K281" s="170">
        <v>0</v>
      </c>
      <c r="L281" s="166"/>
      <c r="M281" s="167"/>
      <c r="N281" s="166"/>
      <c r="O281" s="167"/>
      <c r="P281" s="166"/>
      <c r="Q281" s="167"/>
      <c r="R281" s="167"/>
      <c r="S281" s="185">
        <f t="shared" si="49"/>
        <v>1310</v>
      </c>
      <c r="T281" s="185"/>
      <c r="U281" s="166"/>
      <c r="V281" s="167"/>
      <c r="W281" s="175">
        <f t="shared" si="34"/>
        <v>1310</v>
      </c>
      <c r="X281" s="172">
        <f t="shared" si="35"/>
        <v>9603</v>
      </c>
      <c r="Y281" s="172">
        <f t="shared" si="50"/>
        <v>1485</v>
      </c>
    </row>
    <row r="282" spans="1:25" ht="15">
      <c r="A282" s="163">
        <v>11</v>
      </c>
      <c r="B282" s="186" t="s">
        <v>35</v>
      </c>
      <c r="C282" s="165">
        <v>10913</v>
      </c>
      <c r="D282" s="169">
        <f t="shared" si="47"/>
        <v>10913</v>
      </c>
      <c r="E282" s="168"/>
      <c r="F282" s="169"/>
      <c r="G282" s="168"/>
      <c r="H282" s="169"/>
      <c r="I282" s="168"/>
      <c r="J282" s="174">
        <f t="shared" si="33"/>
        <v>10913</v>
      </c>
      <c r="K282" s="170">
        <v>0</v>
      </c>
      <c r="L282" s="166"/>
      <c r="M282" s="167"/>
      <c r="N282" s="166"/>
      <c r="O282" s="167"/>
      <c r="P282" s="166"/>
      <c r="Q282" s="167"/>
      <c r="R282" s="167"/>
      <c r="S282" s="185">
        <f t="shared" si="49"/>
        <v>1310</v>
      </c>
      <c r="T282" s="185"/>
      <c r="U282" s="166"/>
      <c r="V282" s="167"/>
      <c r="W282" s="175">
        <f t="shared" si="34"/>
        <v>1310</v>
      </c>
      <c r="X282" s="172">
        <f t="shared" si="35"/>
        <v>9603</v>
      </c>
      <c r="Y282" s="172">
        <f t="shared" si="50"/>
        <v>1485</v>
      </c>
    </row>
    <row r="283" spans="1:25" s="177" customFormat="1" ht="15">
      <c r="A283" s="163">
        <v>12</v>
      </c>
      <c r="B283" s="164" t="s">
        <v>542</v>
      </c>
      <c r="C283" s="165">
        <v>10913</v>
      </c>
      <c r="D283" s="166">
        <f>C283</f>
        <v>10913</v>
      </c>
      <c r="E283" s="167"/>
      <c r="F283" s="166"/>
      <c r="G283" s="167"/>
      <c r="H283" s="166"/>
      <c r="I283" s="167"/>
      <c r="J283" s="174">
        <f t="shared" si="33"/>
        <v>10913</v>
      </c>
      <c r="K283" s="170">
        <v>0</v>
      </c>
      <c r="L283" s="166"/>
      <c r="M283" s="167"/>
      <c r="N283" s="166"/>
      <c r="O283" s="167"/>
      <c r="P283" s="166"/>
      <c r="Q283" s="167"/>
      <c r="R283" s="167"/>
      <c r="S283" s="185">
        <f t="shared" si="49"/>
        <v>1310</v>
      </c>
      <c r="T283" s="185"/>
      <c r="U283" s="166"/>
      <c r="V283" s="167">
        <v>625</v>
      </c>
      <c r="W283" s="175">
        <f t="shared" si="34"/>
        <v>1935</v>
      </c>
      <c r="X283" s="172">
        <f t="shared" si="35"/>
        <v>8978</v>
      </c>
      <c r="Y283" s="172">
        <f t="shared" si="50"/>
        <v>1485</v>
      </c>
    </row>
    <row r="284" spans="1:25" ht="15">
      <c r="A284" s="163">
        <v>13</v>
      </c>
      <c r="B284" s="186" t="s">
        <v>1223</v>
      </c>
      <c r="C284" s="165">
        <v>10913</v>
      </c>
      <c r="D284" s="166">
        <f t="shared" si="47"/>
        <v>10913</v>
      </c>
      <c r="E284" s="168"/>
      <c r="F284" s="169"/>
      <c r="G284" s="168"/>
      <c r="H284" s="169"/>
      <c r="I284" s="168"/>
      <c r="J284" s="174">
        <f t="shared" si="33"/>
        <v>10913</v>
      </c>
      <c r="K284" s="170">
        <v>0</v>
      </c>
      <c r="L284" s="166">
        <f>ROUND(D284*10%,0)</f>
        <v>1091</v>
      </c>
      <c r="M284" s="167"/>
      <c r="N284" s="166">
        <v>80</v>
      </c>
      <c r="O284" s="167"/>
      <c r="P284" s="166">
        <v>20</v>
      </c>
      <c r="Q284" s="167"/>
      <c r="R284" s="167"/>
      <c r="S284" s="185">
        <f t="shared" si="49"/>
        <v>1310</v>
      </c>
      <c r="T284" s="185"/>
      <c r="U284" s="166"/>
      <c r="V284" s="167">
        <v>975</v>
      </c>
      <c r="W284" s="175">
        <f t="shared" si="34"/>
        <v>3476</v>
      </c>
      <c r="X284" s="172">
        <f t="shared" si="35"/>
        <v>7437</v>
      </c>
      <c r="Y284" s="172">
        <f t="shared" si="50"/>
        <v>1485</v>
      </c>
    </row>
    <row r="285" spans="1:25" ht="15">
      <c r="A285" s="163">
        <v>14</v>
      </c>
      <c r="B285" s="186" t="s">
        <v>1545</v>
      </c>
      <c r="C285" s="165">
        <v>10913</v>
      </c>
      <c r="D285" s="166">
        <v>0</v>
      </c>
      <c r="E285" s="168"/>
      <c r="F285" s="169"/>
      <c r="G285" s="168"/>
      <c r="H285" s="169"/>
      <c r="I285" s="168"/>
      <c r="J285" s="174">
        <f t="shared" si="33"/>
        <v>0</v>
      </c>
      <c r="K285" s="170">
        <v>0</v>
      </c>
      <c r="L285" s="166"/>
      <c r="M285" s="167"/>
      <c r="N285" s="166"/>
      <c r="O285" s="167"/>
      <c r="P285" s="166"/>
      <c r="Q285" s="167"/>
      <c r="R285" s="167"/>
      <c r="S285" s="185">
        <f t="shared" si="49"/>
        <v>0</v>
      </c>
      <c r="T285" s="185"/>
      <c r="U285" s="166"/>
      <c r="V285" s="167"/>
      <c r="W285" s="175">
        <f t="shared" si="34"/>
        <v>0</v>
      </c>
      <c r="X285" s="172">
        <f t="shared" si="35"/>
        <v>0</v>
      </c>
      <c r="Y285" s="172">
        <f t="shared" si="50"/>
        <v>0</v>
      </c>
    </row>
    <row r="286" spans="1:25" ht="15">
      <c r="A286" s="163">
        <v>15</v>
      </c>
      <c r="B286" s="186" t="s">
        <v>143</v>
      </c>
      <c r="C286" s="165">
        <v>10913</v>
      </c>
      <c r="D286" s="169">
        <v>10913</v>
      </c>
      <c r="E286" s="168"/>
      <c r="F286" s="169"/>
      <c r="G286" s="168"/>
      <c r="H286" s="169"/>
      <c r="I286" s="168"/>
      <c r="J286" s="174">
        <f t="shared" si="33"/>
        <v>10913</v>
      </c>
      <c r="K286" s="170">
        <v>0</v>
      </c>
      <c r="L286" s="166"/>
      <c r="M286" s="167"/>
      <c r="N286" s="166"/>
      <c r="O286" s="167"/>
      <c r="P286" s="166"/>
      <c r="Q286" s="167"/>
      <c r="R286" s="167"/>
      <c r="S286" s="185">
        <f t="shared" si="49"/>
        <v>1310</v>
      </c>
      <c r="T286" s="185"/>
      <c r="U286" s="166"/>
      <c r="V286" s="167"/>
      <c r="W286" s="175">
        <f t="shared" si="34"/>
        <v>1310</v>
      </c>
      <c r="X286" s="172">
        <f t="shared" si="35"/>
        <v>9603</v>
      </c>
      <c r="Y286" s="172">
        <f t="shared" si="50"/>
        <v>1485</v>
      </c>
    </row>
    <row r="287" spans="1:25" ht="15">
      <c r="A287" s="163">
        <v>17</v>
      </c>
      <c r="B287" s="186" t="s">
        <v>363</v>
      </c>
      <c r="C287" s="165">
        <v>10913</v>
      </c>
      <c r="D287" s="169">
        <f t="shared" si="47"/>
        <v>10913</v>
      </c>
      <c r="E287" s="168"/>
      <c r="F287" s="169"/>
      <c r="G287" s="168"/>
      <c r="H287" s="169"/>
      <c r="I287" s="168"/>
      <c r="J287" s="174">
        <f t="shared" si="33"/>
        <v>10913</v>
      </c>
      <c r="K287" s="170">
        <v>0</v>
      </c>
      <c r="L287" s="166"/>
      <c r="M287" s="167"/>
      <c r="N287" s="166"/>
      <c r="O287" s="167"/>
      <c r="P287" s="166"/>
      <c r="Q287" s="167"/>
      <c r="R287" s="167"/>
      <c r="S287" s="185">
        <f t="shared" si="49"/>
        <v>1310</v>
      </c>
      <c r="T287" s="185"/>
      <c r="U287" s="166"/>
      <c r="V287" s="167"/>
      <c r="W287" s="175">
        <f t="shared" si="34"/>
        <v>1310</v>
      </c>
      <c r="X287" s="172">
        <f t="shared" si="35"/>
        <v>9603</v>
      </c>
      <c r="Y287" s="172">
        <f t="shared" si="50"/>
        <v>1485</v>
      </c>
    </row>
    <row r="288" spans="1:25" ht="15">
      <c r="A288" s="163">
        <v>18</v>
      </c>
      <c r="B288" s="186" t="s">
        <v>517</v>
      </c>
      <c r="C288" s="165">
        <v>10913</v>
      </c>
      <c r="D288" s="169">
        <v>10913</v>
      </c>
      <c r="E288" s="168"/>
      <c r="F288" s="169"/>
      <c r="G288" s="168"/>
      <c r="H288" s="169"/>
      <c r="I288" s="168"/>
      <c r="J288" s="174">
        <f t="shared" si="33"/>
        <v>10913</v>
      </c>
      <c r="K288" s="170">
        <v>0</v>
      </c>
      <c r="L288" s="166"/>
      <c r="M288" s="167"/>
      <c r="N288" s="166"/>
      <c r="O288" s="167"/>
      <c r="P288" s="166"/>
      <c r="Q288" s="167"/>
      <c r="R288" s="167"/>
      <c r="S288" s="185">
        <f t="shared" si="49"/>
        <v>1310</v>
      </c>
      <c r="T288" s="185"/>
      <c r="U288" s="166"/>
      <c r="V288" s="167"/>
      <c r="W288" s="175">
        <f t="shared" si="34"/>
        <v>1310</v>
      </c>
      <c r="X288" s="172">
        <f t="shared" si="35"/>
        <v>9603</v>
      </c>
      <c r="Y288" s="172">
        <f t="shared" si="50"/>
        <v>1485</v>
      </c>
    </row>
    <row r="289" spans="1:25" ht="15">
      <c r="A289" s="163">
        <v>19</v>
      </c>
      <c r="B289" s="186" t="s">
        <v>431</v>
      </c>
      <c r="C289" s="165">
        <v>10913</v>
      </c>
      <c r="D289" s="169">
        <f t="shared" si="47"/>
        <v>10913</v>
      </c>
      <c r="E289" s="168"/>
      <c r="F289" s="169"/>
      <c r="G289" s="168"/>
      <c r="H289" s="169"/>
      <c r="I289" s="168"/>
      <c r="J289" s="174">
        <f t="shared" si="33"/>
        <v>10913</v>
      </c>
      <c r="K289" s="170">
        <v>0</v>
      </c>
      <c r="L289" s="166"/>
      <c r="M289" s="167"/>
      <c r="N289" s="166"/>
      <c r="O289" s="167"/>
      <c r="P289" s="166"/>
      <c r="Q289" s="167"/>
      <c r="R289" s="167"/>
      <c r="S289" s="185">
        <f t="shared" si="49"/>
        <v>1310</v>
      </c>
      <c r="T289" s="185"/>
      <c r="U289" s="166"/>
      <c r="V289" s="167"/>
      <c r="W289" s="175">
        <f t="shared" si="34"/>
        <v>1310</v>
      </c>
      <c r="X289" s="172">
        <f t="shared" si="35"/>
        <v>9603</v>
      </c>
      <c r="Y289" s="172">
        <f t="shared" si="50"/>
        <v>1485</v>
      </c>
    </row>
    <row r="290" spans="1:25" ht="15">
      <c r="A290" s="163">
        <v>20</v>
      </c>
      <c r="B290" s="164" t="s">
        <v>430</v>
      </c>
      <c r="C290" s="165">
        <v>10913</v>
      </c>
      <c r="D290" s="169">
        <f t="shared" si="47"/>
        <v>10913</v>
      </c>
      <c r="E290" s="167"/>
      <c r="F290" s="166"/>
      <c r="G290" s="167"/>
      <c r="H290" s="166"/>
      <c r="I290" s="167"/>
      <c r="J290" s="174">
        <f t="shared" si="33"/>
        <v>10913</v>
      </c>
      <c r="K290" s="170">
        <v>0</v>
      </c>
      <c r="L290" s="166">
        <f>ROUND(D290*10%,0)</f>
        <v>1091</v>
      </c>
      <c r="M290" s="167"/>
      <c r="N290" s="166">
        <v>80</v>
      </c>
      <c r="O290" s="167"/>
      <c r="P290" s="166">
        <v>20</v>
      </c>
      <c r="Q290" s="167"/>
      <c r="R290" s="167"/>
      <c r="S290" s="185">
        <f t="shared" si="49"/>
        <v>1310</v>
      </c>
      <c r="T290" s="185"/>
      <c r="U290" s="166"/>
      <c r="V290" s="167"/>
      <c r="W290" s="175">
        <f t="shared" si="34"/>
        <v>2501</v>
      </c>
      <c r="X290" s="172">
        <f t="shared" si="35"/>
        <v>8412</v>
      </c>
      <c r="Y290" s="172">
        <f t="shared" si="50"/>
        <v>1485</v>
      </c>
    </row>
    <row r="291" spans="1:25" ht="15">
      <c r="A291" s="163">
        <v>21</v>
      </c>
      <c r="B291" s="179" t="s">
        <v>13</v>
      </c>
      <c r="C291" s="180"/>
      <c r="D291" s="169"/>
      <c r="E291" s="167"/>
      <c r="F291" s="166"/>
      <c r="G291" s="167"/>
      <c r="H291" s="166"/>
      <c r="I291" s="167"/>
      <c r="J291" s="174">
        <f t="shared" si="33"/>
        <v>0</v>
      </c>
      <c r="K291" s="170"/>
      <c r="L291" s="166"/>
      <c r="M291" s="167"/>
      <c r="N291" s="166"/>
      <c r="O291" s="167"/>
      <c r="P291" s="166"/>
      <c r="Q291" s="167"/>
      <c r="R291" s="167"/>
      <c r="S291" s="170"/>
      <c r="T291" s="170"/>
      <c r="U291" s="166"/>
      <c r="V291" s="167"/>
      <c r="W291" s="175">
        <f t="shared" si="34"/>
        <v>0</v>
      </c>
      <c r="X291" s="172">
        <f t="shared" si="35"/>
        <v>0</v>
      </c>
      <c r="Y291" s="172"/>
    </row>
    <row r="292" spans="1:25" s="177" customFormat="1" ht="15">
      <c r="A292" s="163"/>
      <c r="B292" s="179" t="s">
        <v>543</v>
      </c>
      <c r="C292" s="180"/>
      <c r="D292" s="166"/>
      <c r="E292" s="167"/>
      <c r="F292" s="166"/>
      <c r="G292" s="167"/>
      <c r="H292" s="166"/>
      <c r="I292" s="167"/>
      <c r="J292" s="174">
        <f t="shared" si="33"/>
        <v>0</v>
      </c>
      <c r="K292" s="170"/>
      <c r="L292" s="166"/>
      <c r="M292" s="167"/>
      <c r="N292" s="166"/>
      <c r="O292" s="167"/>
      <c r="P292" s="166"/>
      <c r="Q292" s="167"/>
      <c r="R292" s="167"/>
      <c r="S292" s="170"/>
      <c r="T292" s="170"/>
      <c r="U292" s="166"/>
      <c r="V292" s="167"/>
      <c r="W292" s="175">
        <f t="shared" si="34"/>
        <v>0</v>
      </c>
      <c r="X292" s="172">
        <f t="shared" si="35"/>
        <v>0</v>
      </c>
      <c r="Y292" s="172"/>
    </row>
    <row r="293" spans="1:25" s="177" customFormat="1" ht="15">
      <c r="A293" s="163">
        <v>1</v>
      </c>
      <c r="B293" s="164" t="s">
        <v>1546</v>
      </c>
      <c r="C293" s="165">
        <v>11600</v>
      </c>
      <c r="D293" s="166">
        <v>0</v>
      </c>
      <c r="E293" s="167">
        <f>ROUND(D293*32.5%,0)</f>
        <v>0</v>
      </c>
      <c r="F293" s="166">
        <f>ROUND(D293*10%,0)</f>
        <v>0</v>
      </c>
      <c r="G293" s="167">
        <v>0</v>
      </c>
      <c r="H293" s="166"/>
      <c r="I293" s="167"/>
      <c r="J293" s="174">
        <f t="shared" si="33"/>
        <v>0</v>
      </c>
      <c r="K293" s="170">
        <v>0</v>
      </c>
      <c r="L293" s="166">
        <f>F293</f>
        <v>0</v>
      </c>
      <c r="M293" s="167"/>
      <c r="N293" s="166"/>
      <c r="O293" s="167"/>
      <c r="P293" s="166"/>
      <c r="Q293" s="167"/>
      <c r="R293" s="167"/>
      <c r="S293" s="170"/>
      <c r="T293" s="170"/>
      <c r="U293" s="166"/>
      <c r="V293" s="167">
        <v>0</v>
      </c>
      <c r="W293" s="175">
        <f t="shared" si="34"/>
        <v>0</v>
      </c>
      <c r="X293" s="172">
        <f t="shared" si="35"/>
        <v>0</v>
      </c>
      <c r="Y293" s="172"/>
    </row>
    <row r="294" spans="1:25" s="177" customFormat="1" ht="15">
      <c r="A294" s="163"/>
      <c r="B294" s="179" t="s">
        <v>96</v>
      </c>
      <c r="C294" s="165"/>
      <c r="D294" s="166"/>
      <c r="E294" s="167"/>
      <c r="F294" s="166"/>
      <c r="G294" s="167"/>
      <c r="H294" s="166"/>
      <c r="I294" s="167"/>
      <c r="J294" s="174">
        <f t="shared" si="33"/>
        <v>0</v>
      </c>
      <c r="K294" s="170"/>
      <c r="L294" s="166"/>
      <c r="M294" s="167"/>
      <c r="N294" s="166"/>
      <c r="O294" s="167"/>
      <c r="P294" s="166"/>
      <c r="Q294" s="167"/>
      <c r="R294" s="167"/>
      <c r="S294" s="170"/>
      <c r="T294" s="170"/>
      <c r="U294" s="166"/>
      <c r="V294" s="167"/>
      <c r="W294" s="175">
        <f t="shared" si="34"/>
        <v>0</v>
      </c>
      <c r="X294" s="172">
        <f t="shared" si="35"/>
        <v>0</v>
      </c>
      <c r="Y294" s="172"/>
    </row>
    <row r="295" spans="1:25" ht="15">
      <c r="A295" s="163">
        <v>2</v>
      </c>
      <c r="B295" s="186" t="s">
        <v>364</v>
      </c>
      <c r="C295" s="165">
        <v>8700</v>
      </c>
      <c r="D295" s="169">
        <f>11600*75%</f>
        <v>8700</v>
      </c>
      <c r="E295" s="168"/>
      <c r="F295" s="169"/>
      <c r="G295" s="168"/>
      <c r="H295" s="169"/>
      <c r="I295" s="168"/>
      <c r="J295" s="174">
        <f t="shared" si="33"/>
        <v>8700</v>
      </c>
      <c r="K295" s="170"/>
      <c r="L295" s="166"/>
      <c r="M295" s="167"/>
      <c r="N295" s="166"/>
      <c r="O295" s="167"/>
      <c r="P295" s="166"/>
      <c r="Q295" s="167"/>
      <c r="R295" s="167"/>
      <c r="S295" s="185">
        <f>J295*12/100</f>
        <v>1044</v>
      </c>
      <c r="T295" s="185"/>
      <c r="U295" s="166"/>
      <c r="V295" s="167"/>
      <c r="W295" s="175">
        <f t="shared" si="34"/>
        <v>1044</v>
      </c>
      <c r="X295" s="172">
        <f t="shared" si="35"/>
        <v>7656</v>
      </c>
      <c r="Y295" s="188">
        <f>ROUND(J295*13.61/100,0)</f>
        <v>1184</v>
      </c>
    </row>
    <row r="296" spans="1:25" s="177" customFormat="1" ht="27">
      <c r="A296" s="163">
        <v>3</v>
      </c>
      <c r="B296" s="164" t="s">
        <v>808</v>
      </c>
      <c r="C296" s="165">
        <v>10913</v>
      </c>
      <c r="D296" s="166">
        <f>C296</f>
        <v>10913</v>
      </c>
      <c r="E296" s="167"/>
      <c r="F296" s="166"/>
      <c r="G296" s="167"/>
      <c r="H296" s="166"/>
      <c r="I296" s="167"/>
      <c r="J296" s="174">
        <f t="shared" si="33"/>
        <v>10913</v>
      </c>
      <c r="K296" s="170">
        <v>0</v>
      </c>
      <c r="L296" s="166"/>
      <c r="M296" s="167"/>
      <c r="N296" s="166"/>
      <c r="O296" s="167"/>
      <c r="P296" s="166"/>
      <c r="Q296" s="167"/>
      <c r="R296" s="167"/>
      <c r="S296" s="185">
        <f>ROUND(J296*12/100,0)</f>
        <v>1310</v>
      </c>
      <c r="T296" s="185"/>
      <c r="U296" s="166"/>
      <c r="V296" s="167"/>
      <c r="W296" s="175">
        <f t="shared" si="34"/>
        <v>1310</v>
      </c>
      <c r="X296" s="172">
        <f t="shared" si="35"/>
        <v>9603</v>
      </c>
      <c r="Y296" s="172">
        <f>ROUND(J296*13.61/100,0)</f>
        <v>1485</v>
      </c>
    </row>
    <row r="297" spans="1:25" s="177" customFormat="1" ht="27">
      <c r="A297" s="163">
        <v>4</v>
      </c>
      <c r="B297" s="164" t="s">
        <v>809</v>
      </c>
      <c r="C297" s="165">
        <v>10913</v>
      </c>
      <c r="D297" s="166">
        <f>C297</f>
        <v>10913</v>
      </c>
      <c r="E297" s="167"/>
      <c r="F297" s="166"/>
      <c r="G297" s="167"/>
      <c r="H297" s="166"/>
      <c r="I297" s="167"/>
      <c r="J297" s="174">
        <f t="shared" si="33"/>
        <v>10913</v>
      </c>
      <c r="K297" s="170">
        <v>0</v>
      </c>
      <c r="L297" s="166"/>
      <c r="M297" s="167"/>
      <c r="N297" s="166"/>
      <c r="O297" s="167"/>
      <c r="P297" s="166"/>
      <c r="Q297" s="167"/>
      <c r="R297" s="167"/>
      <c r="S297" s="185">
        <f>ROUND(J297*12/100,0)</f>
        <v>1310</v>
      </c>
      <c r="T297" s="185"/>
      <c r="U297" s="166"/>
      <c r="V297" s="167"/>
      <c r="W297" s="175">
        <f t="shared" si="34"/>
        <v>1310</v>
      </c>
      <c r="X297" s="172">
        <f t="shared" si="35"/>
        <v>9603</v>
      </c>
      <c r="Y297" s="172">
        <f>ROUND(J297*13.61/100,0)</f>
        <v>1485</v>
      </c>
    </row>
    <row r="298" spans="1:25" s="177" customFormat="1" ht="15">
      <c r="A298" s="163">
        <v>5</v>
      </c>
      <c r="B298" s="179" t="s">
        <v>544</v>
      </c>
      <c r="C298" s="180"/>
      <c r="D298" s="166"/>
      <c r="E298" s="167"/>
      <c r="F298" s="166"/>
      <c r="G298" s="167"/>
      <c r="H298" s="166"/>
      <c r="I298" s="167"/>
      <c r="J298" s="174">
        <f t="shared" si="33"/>
        <v>0</v>
      </c>
      <c r="K298" s="170"/>
      <c r="L298" s="166"/>
      <c r="M298" s="167"/>
      <c r="N298" s="166"/>
      <c r="O298" s="167"/>
      <c r="P298" s="166"/>
      <c r="Q298" s="167"/>
      <c r="R298" s="167"/>
      <c r="S298" s="170"/>
      <c r="T298" s="170"/>
      <c r="U298" s="166"/>
      <c r="V298" s="167"/>
      <c r="W298" s="175"/>
      <c r="X298" s="172">
        <f t="shared" si="35"/>
        <v>0</v>
      </c>
      <c r="Y298" s="172"/>
    </row>
    <row r="299" spans="1:25" s="177" customFormat="1" ht="30">
      <c r="A299" s="178" t="s">
        <v>247</v>
      </c>
      <c r="B299" s="183" t="s">
        <v>19</v>
      </c>
      <c r="C299" s="180"/>
      <c r="D299" s="169"/>
      <c r="E299" s="168"/>
      <c r="F299" s="169"/>
      <c r="G299" s="168"/>
      <c r="H299" s="169"/>
      <c r="I299" s="168"/>
      <c r="J299" s="174">
        <f t="shared" si="33"/>
        <v>0</v>
      </c>
      <c r="K299" s="170"/>
      <c r="L299" s="166"/>
      <c r="M299" s="167"/>
      <c r="N299" s="166"/>
      <c r="O299" s="167"/>
      <c r="P299" s="166"/>
      <c r="Q299" s="167"/>
      <c r="R299" s="167"/>
      <c r="S299" s="170"/>
      <c r="T299" s="170"/>
      <c r="U299" s="166"/>
      <c r="V299" s="167"/>
      <c r="W299" s="175"/>
      <c r="X299" s="172">
        <f t="shared" si="35"/>
        <v>0</v>
      </c>
      <c r="Y299" s="173"/>
    </row>
    <row r="300" spans="1:25" s="177" customFormat="1" ht="15">
      <c r="A300" s="163">
        <v>1</v>
      </c>
      <c r="B300" s="186" t="s">
        <v>221</v>
      </c>
      <c r="C300" s="165">
        <v>10913</v>
      </c>
      <c r="D300" s="166">
        <v>10913</v>
      </c>
      <c r="E300" s="168"/>
      <c r="F300" s="169"/>
      <c r="G300" s="168"/>
      <c r="H300" s="169"/>
      <c r="I300" s="168"/>
      <c r="J300" s="174">
        <f t="shared" si="33"/>
        <v>10913</v>
      </c>
      <c r="K300" s="170">
        <v>0</v>
      </c>
      <c r="L300" s="166"/>
      <c r="M300" s="167"/>
      <c r="N300" s="166"/>
      <c r="O300" s="167"/>
      <c r="P300" s="166"/>
      <c r="Q300" s="167"/>
      <c r="R300" s="167"/>
      <c r="S300" s="185">
        <f>ROUND(J300*12/100,0)</f>
        <v>1310</v>
      </c>
      <c r="T300" s="185"/>
      <c r="U300" s="166"/>
      <c r="V300" s="167"/>
      <c r="W300" s="175">
        <f>SUM(K300:V300)</f>
        <v>1310</v>
      </c>
      <c r="X300" s="172">
        <f t="shared" si="35"/>
        <v>9603</v>
      </c>
      <c r="Y300" s="188">
        <f>ROUND(J300*13.61/100,0)</f>
        <v>1485</v>
      </c>
    </row>
    <row r="301" spans="1:25" ht="30">
      <c r="A301" s="178" t="s">
        <v>248</v>
      </c>
      <c r="B301" s="183" t="s">
        <v>71</v>
      </c>
      <c r="C301" s="180"/>
      <c r="D301" s="166"/>
      <c r="E301" s="168"/>
      <c r="F301" s="169"/>
      <c r="G301" s="168"/>
      <c r="H301" s="169"/>
      <c r="I301" s="168"/>
      <c r="J301" s="174">
        <f t="shared" si="33"/>
        <v>0</v>
      </c>
      <c r="K301" s="170"/>
      <c r="L301" s="166"/>
      <c r="M301" s="167"/>
      <c r="N301" s="166"/>
      <c r="O301" s="167"/>
      <c r="P301" s="166"/>
      <c r="Q301" s="167"/>
      <c r="R301" s="167"/>
      <c r="S301" s="170"/>
      <c r="T301" s="170"/>
      <c r="U301" s="166"/>
      <c r="V301" s="167"/>
      <c r="W301" s="175"/>
      <c r="X301" s="172">
        <f t="shared" si="35"/>
        <v>0</v>
      </c>
      <c r="Y301" s="188"/>
    </row>
    <row r="302" spans="1:25" s="177" customFormat="1" ht="67.5">
      <c r="A302" s="163">
        <v>1</v>
      </c>
      <c r="B302" s="164" t="s">
        <v>1598</v>
      </c>
      <c r="C302" s="165">
        <v>10913</v>
      </c>
      <c r="D302" s="166">
        <f>ROUND(C302*28/31,0)</f>
        <v>9857</v>
      </c>
      <c r="E302" s="167"/>
      <c r="F302" s="166"/>
      <c r="G302" s="167"/>
      <c r="H302" s="166"/>
      <c r="I302" s="167"/>
      <c r="J302" s="174">
        <f t="shared" si="33"/>
        <v>9857</v>
      </c>
      <c r="K302" s="170">
        <v>0</v>
      </c>
      <c r="L302" s="166"/>
      <c r="M302" s="167"/>
      <c r="N302" s="166"/>
      <c r="O302" s="167"/>
      <c r="P302" s="166"/>
      <c r="Q302" s="167"/>
      <c r="R302" s="167"/>
      <c r="S302" s="185">
        <f>ROUND(J302*12/100,0)</f>
        <v>1183</v>
      </c>
      <c r="T302" s="185"/>
      <c r="U302" s="166"/>
      <c r="V302" s="167"/>
      <c r="W302" s="175">
        <f aca="true" t="shared" si="51" ref="W302:W311">SUM(K302:V302)</f>
        <v>1183</v>
      </c>
      <c r="X302" s="172">
        <f t="shared" si="35"/>
        <v>8674</v>
      </c>
      <c r="Y302" s="172">
        <f>ROUND(J302*13.61/100,0)</f>
        <v>1342</v>
      </c>
    </row>
    <row r="303" spans="1:25" s="177" customFormat="1" ht="30">
      <c r="A303" s="178" t="s">
        <v>249</v>
      </c>
      <c r="B303" s="179" t="s">
        <v>18</v>
      </c>
      <c r="C303" s="180"/>
      <c r="D303" s="166"/>
      <c r="E303" s="167"/>
      <c r="F303" s="166"/>
      <c r="G303" s="167"/>
      <c r="H303" s="166"/>
      <c r="I303" s="167"/>
      <c r="J303" s="174">
        <f t="shared" si="33"/>
        <v>0</v>
      </c>
      <c r="K303" s="170"/>
      <c r="L303" s="166"/>
      <c r="M303" s="167"/>
      <c r="N303" s="166"/>
      <c r="O303" s="167"/>
      <c r="P303" s="166"/>
      <c r="Q303" s="167"/>
      <c r="R303" s="167"/>
      <c r="S303" s="170"/>
      <c r="T303" s="170"/>
      <c r="U303" s="166"/>
      <c r="V303" s="167"/>
      <c r="W303" s="175">
        <f t="shared" si="51"/>
        <v>0</v>
      </c>
      <c r="X303" s="172">
        <f t="shared" si="35"/>
        <v>0</v>
      </c>
      <c r="Y303" s="172"/>
    </row>
    <row r="304" spans="1:25" s="177" customFormat="1" ht="67.5">
      <c r="A304" s="163">
        <v>1</v>
      </c>
      <c r="B304" s="164" t="s">
        <v>1331</v>
      </c>
      <c r="C304" s="165">
        <v>8700</v>
      </c>
      <c r="D304" s="165">
        <f>C304</f>
        <v>8700</v>
      </c>
      <c r="E304" s="167"/>
      <c r="F304" s="166"/>
      <c r="G304" s="167"/>
      <c r="H304" s="166"/>
      <c r="I304" s="167"/>
      <c r="J304" s="174">
        <f aca="true" t="shared" si="52" ref="J304:J367">SUM(D304:I304)</f>
        <v>8700</v>
      </c>
      <c r="K304" s="170"/>
      <c r="L304" s="166"/>
      <c r="M304" s="167"/>
      <c r="N304" s="166"/>
      <c r="O304" s="167"/>
      <c r="P304" s="166"/>
      <c r="Q304" s="167"/>
      <c r="R304" s="167"/>
      <c r="S304" s="185">
        <f>ROUND(J304*12/100,0)</f>
        <v>1044</v>
      </c>
      <c r="T304" s="185"/>
      <c r="U304" s="166"/>
      <c r="V304" s="167"/>
      <c r="W304" s="175">
        <f t="shared" si="51"/>
        <v>1044</v>
      </c>
      <c r="X304" s="172">
        <f t="shared" si="35"/>
        <v>7656</v>
      </c>
      <c r="Y304" s="172">
        <f>ROUND(J304*13.61/100,0)</f>
        <v>1184</v>
      </c>
    </row>
    <row r="305" spans="1:25" s="177" customFormat="1" ht="67.5">
      <c r="A305" s="163">
        <v>2</v>
      </c>
      <c r="B305" s="164" t="s">
        <v>1332</v>
      </c>
      <c r="C305" s="165">
        <v>8700</v>
      </c>
      <c r="D305" s="165">
        <f>C305</f>
        <v>8700</v>
      </c>
      <c r="E305" s="167"/>
      <c r="F305" s="166"/>
      <c r="G305" s="167"/>
      <c r="H305" s="166"/>
      <c r="I305" s="167"/>
      <c r="J305" s="174">
        <f t="shared" si="52"/>
        <v>8700</v>
      </c>
      <c r="K305" s="170"/>
      <c r="L305" s="166">
        <v>870</v>
      </c>
      <c r="M305" s="167"/>
      <c r="N305" s="166"/>
      <c r="O305" s="167"/>
      <c r="P305" s="166">
        <v>45</v>
      </c>
      <c r="Q305" s="167"/>
      <c r="R305" s="167"/>
      <c r="S305" s="185">
        <f>ROUND(J305*12/100,0)</f>
        <v>1044</v>
      </c>
      <c r="T305" s="185"/>
      <c r="U305" s="166"/>
      <c r="V305" s="167"/>
      <c r="W305" s="175">
        <f t="shared" si="51"/>
        <v>1959</v>
      </c>
      <c r="X305" s="172">
        <f t="shared" si="35"/>
        <v>6741</v>
      </c>
      <c r="Y305" s="172">
        <f>ROUND(J305*13.61/100,0)</f>
        <v>1184</v>
      </c>
    </row>
    <row r="306" spans="1:25" s="177" customFormat="1" ht="30">
      <c r="A306" s="178" t="s">
        <v>250</v>
      </c>
      <c r="B306" s="179" t="s">
        <v>186</v>
      </c>
      <c r="C306" s="180"/>
      <c r="D306" s="166"/>
      <c r="E306" s="168"/>
      <c r="F306" s="169"/>
      <c r="G306" s="168"/>
      <c r="H306" s="169"/>
      <c r="I306" s="168"/>
      <c r="J306" s="174">
        <f t="shared" si="52"/>
        <v>0</v>
      </c>
      <c r="K306" s="170"/>
      <c r="L306" s="166"/>
      <c r="M306" s="167"/>
      <c r="N306" s="166"/>
      <c r="O306" s="167"/>
      <c r="P306" s="166"/>
      <c r="Q306" s="167"/>
      <c r="R306" s="167"/>
      <c r="S306" s="170"/>
      <c r="T306" s="170"/>
      <c r="U306" s="166"/>
      <c r="V306" s="167"/>
      <c r="W306" s="175">
        <f t="shared" si="51"/>
        <v>0</v>
      </c>
      <c r="X306" s="172">
        <f t="shared" si="35"/>
        <v>0</v>
      </c>
      <c r="Y306" s="185"/>
    </row>
    <row r="307" spans="1:25" s="177" customFormat="1" ht="40.5">
      <c r="A307" s="163">
        <v>1</v>
      </c>
      <c r="B307" s="164" t="s">
        <v>351</v>
      </c>
      <c r="C307" s="165">
        <v>8700</v>
      </c>
      <c r="D307" s="166">
        <v>8700</v>
      </c>
      <c r="E307" s="168"/>
      <c r="F307" s="169"/>
      <c r="G307" s="168"/>
      <c r="H307" s="169"/>
      <c r="I307" s="168"/>
      <c r="J307" s="174">
        <f t="shared" si="52"/>
        <v>8700</v>
      </c>
      <c r="K307" s="170"/>
      <c r="L307" s="166">
        <v>870</v>
      </c>
      <c r="M307" s="167"/>
      <c r="N307" s="166"/>
      <c r="O307" s="167">
        <v>0</v>
      </c>
      <c r="P307" s="166"/>
      <c r="Q307" s="167"/>
      <c r="R307" s="167"/>
      <c r="S307" s="185">
        <f>ROUND(J307*12/100,0)</f>
        <v>1044</v>
      </c>
      <c r="T307" s="185"/>
      <c r="U307" s="166"/>
      <c r="V307" s="167"/>
      <c r="W307" s="175">
        <f t="shared" si="51"/>
        <v>1914</v>
      </c>
      <c r="X307" s="172">
        <f t="shared" si="35"/>
        <v>6786</v>
      </c>
      <c r="Y307" s="172">
        <f>ROUND(J307*13.61/100,0)</f>
        <v>1184</v>
      </c>
    </row>
    <row r="308" spans="1:25" s="177" customFormat="1" ht="70.5" customHeight="1">
      <c r="A308" s="163">
        <v>2</v>
      </c>
      <c r="B308" s="164" t="s">
        <v>1471</v>
      </c>
      <c r="C308" s="165">
        <v>8700</v>
      </c>
      <c r="D308" s="166">
        <v>8700</v>
      </c>
      <c r="E308" s="168"/>
      <c r="F308" s="169"/>
      <c r="G308" s="168"/>
      <c r="H308" s="169"/>
      <c r="I308" s="168"/>
      <c r="J308" s="174">
        <f t="shared" si="52"/>
        <v>8700</v>
      </c>
      <c r="K308" s="170"/>
      <c r="L308" s="166">
        <f>ROUND(870*21/31,0)</f>
        <v>589</v>
      </c>
      <c r="M308" s="167"/>
      <c r="N308" s="166"/>
      <c r="O308" s="167"/>
      <c r="P308" s="166"/>
      <c r="Q308" s="167"/>
      <c r="R308" s="167"/>
      <c r="S308" s="185">
        <f>ROUND(J308*12/100,0)</f>
        <v>1044</v>
      </c>
      <c r="T308" s="185"/>
      <c r="U308" s="166"/>
      <c r="V308" s="167"/>
      <c r="W308" s="175">
        <f t="shared" si="51"/>
        <v>1633</v>
      </c>
      <c r="X308" s="172">
        <f t="shared" si="35"/>
        <v>7067</v>
      </c>
      <c r="Y308" s="172">
        <f>ROUND(J308*13.61/100,0)</f>
        <v>1184</v>
      </c>
    </row>
    <row r="309" spans="1:25" s="177" customFormat="1" ht="54">
      <c r="A309" s="163">
        <v>3</v>
      </c>
      <c r="B309" s="164" t="s">
        <v>1393</v>
      </c>
      <c r="C309" s="165">
        <v>8700</v>
      </c>
      <c r="D309" s="166">
        <v>8700</v>
      </c>
      <c r="E309" s="168"/>
      <c r="F309" s="169"/>
      <c r="G309" s="168"/>
      <c r="H309" s="169"/>
      <c r="I309" s="168"/>
      <c r="J309" s="174">
        <f t="shared" si="52"/>
        <v>8700</v>
      </c>
      <c r="K309" s="170"/>
      <c r="L309" s="166"/>
      <c r="M309" s="167"/>
      <c r="N309" s="166"/>
      <c r="O309" s="167"/>
      <c r="P309" s="166"/>
      <c r="Q309" s="167"/>
      <c r="R309" s="167"/>
      <c r="S309" s="185">
        <f>ROUND(J309*12/100,0)</f>
        <v>1044</v>
      </c>
      <c r="T309" s="185"/>
      <c r="U309" s="166"/>
      <c r="V309" s="167"/>
      <c r="W309" s="175">
        <f t="shared" si="51"/>
        <v>1044</v>
      </c>
      <c r="X309" s="172">
        <f t="shared" si="35"/>
        <v>7656</v>
      </c>
      <c r="Y309" s="172">
        <f>ROUND(J309*13.61/100,0)</f>
        <v>1184</v>
      </c>
    </row>
    <row r="310" spans="1:25" s="177" customFormat="1" ht="54">
      <c r="A310" s="163">
        <v>4</v>
      </c>
      <c r="B310" s="164" t="s">
        <v>1392</v>
      </c>
      <c r="C310" s="165">
        <v>8700</v>
      </c>
      <c r="D310" s="166">
        <v>8700</v>
      </c>
      <c r="E310" s="168"/>
      <c r="F310" s="169"/>
      <c r="G310" s="168"/>
      <c r="H310" s="169"/>
      <c r="I310" s="168"/>
      <c r="J310" s="174">
        <f t="shared" si="52"/>
        <v>8700</v>
      </c>
      <c r="K310" s="170"/>
      <c r="L310" s="166"/>
      <c r="M310" s="167"/>
      <c r="N310" s="166"/>
      <c r="O310" s="167"/>
      <c r="P310" s="166"/>
      <c r="Q310" s="167"/>
      <c r="R310" s="167"/>
      <c r="S310" s="185">
        <f>ROUND(J310*12/100,0)</f>
        <v>1044</v>
      </c>
      <c r="T310" s="185"/>
      <c r="U310" s="166"/>
      <c r="V310" s="167"/>
      <c r="W310" s="175">
        <f t="shared" si="51"/>
        <v>1044</v>
      </c>
      <c r="X310" s="172">
        <f t="shared" si="35"/>
        <v>7656</v>
      </c>
      <c r="Y310" s="172">
        <f>ROUND(J310*13.61/100,0)</f>
        <v>1184</v>
      </c>
    </row>
    <row r="311" spans="1:25" ht="15">
      <c r="A311" s="178" t="s">
        <v>353</v>
      </c>
      <c r="B311" s="183" t="s">
        <v>14</v>
      </c>
      <c r="C311" s="180"/>
      <c r="D311" s="169"/>
      <c r="E311" s="168"/>
      <c r="F311" s="169"/>
      <c r="G311" s="168"/>
      <c r="H311" s="169"/>
      <c r="I311" s="168"/>
      <c r="J311" s="174">
        <f t="shared" si="52"/>
        <v>0</v>
      </c>
      <c r="K311" s="170"/>
      <c r="L311" s="166"/>
      <c r="M311" s="167"/>
      <c r="N311" s="166"/>
      <c r="O311" s="167"/>
      <c r="P311" s="166"/>
      <c r="Q311" s="167"/>
      <c r="R311" s="167"/>
      <c r="S311" s="170"/>
      <c r="T311" s="170"/>
      <c r="U311" s="166"/>
      <c r="V311" s="167"/>
      <c r="W311" s="175">
        <f t="shared" si="51"/>
        <v>0</v>
      </c>
      <c r="X311" s="172">
        <f t="shared" si="35"/>
        <v>0</v>
      </c>
      <c r="Y311" s="173"/>
    </row>
    <row r="312" spans="1:25" ht="15">
      <c r="A312" s="163">
        <v>1</v>
      </c>
      <c r="B312" s="186" t="s">
        <v>74</v>
      </c>
      <c r="C312" s="165">
        <v>10800</v>
      </c>
      <c r="D312" s="169">
        <v>10800</v>
      </c>
      <c r="E312" s="167">
        <f>ROUND(D312*32.5%,0)</f>
        <v>3510</v>
      </c>
      <c r="F312" s="169">
        <f>ROUND(D312*10%,0)</f>
        <v>1080</v>
      </c>
      <c r="G312" s="168">
        <v>100</v>
      </c>
      <c r="H312" s="169"/>
      <c r="I312" s="168"/>
      <c r="J312" s="174">
        <f t="shared" si="52"/>
        <v>15490</v>
      </c>
      <c r="K312" s="170">
        <v>200</v>
      </c>
      <c r="L312" s="166">
        <f>+F312</f>
        <v>1080</v>
      </c>
      <c r="M312" s="167"/>
      <c r="N312" s="166">
        <v>80</v>
      </c>
      <c r="O312" s="167"/>
      <c r="P312" s="166">
        <v>20</v>
      </c>
      <c r="Q312" s="167"/>
      <c r="R312" s="167"/>
      <c r="S312" s="185">
        <f>15000*12%</f>
        <v>1800</v>
      </c>
      <c r="T312" s="185"/>
      <c r="U312" s="166"/>
      <c r="V312" s="167">
        <v>2262</v>
      </c>
      <c r="W312" s="175">
        <f aca="true" t="shared" si="53" ref="W312:W375">SUM(K312:V312)</f>
        <v>5442</v>
      </c>
      <c r="X312" s="172">
        <f t="shared" si="35"/>
        <v>10048</v>
      </c>
      <c r="Y312" s="185">
        <f>ROUND(15000*13.61%,0)</f>
        <v>2042</v>
      </c>
    </row>
    <row r="313" spans="1:25" ht="15">
      <c r="A313" s="163">
        <v>2</v>
      </c>
      <c r="B313" s="186" t="s">
        <v>222</v>
      </c>
      <c r="C313" s="165">
        <v>10800</v>
      </c>
      <c r="D313" s="169">
        <v>10800</v>
      </c>
      <c r="E313" s="167">
        <f>ROUND(D313*32.5%,0)</f>
        <v>3510</v>
      </c>
      <c r="F313" s="169">
        <f>ROUND(D313*10%,0)</f>
        <v>1080</v>
      </c>
      <c r="G313" s="168">
        <v>100</v>
      </c>
      <c r="H313" s="169"/>
      <c r="I313" s="168"/>
      <c r="J313" s="174">
        <f t="shared" si="52"/>
        <v>15490</v>
      </c>
      <c r="K313" s="170">
        <v>200</v>
      </c>
      <c r="L313" s="166">
        <f>+F313</f>
        <v>1080</v>
      </c>
      <c r="M313" s="167"/>
      <c r="N313" s="166">
        <v>80</v>
      </c>
      <c r="O313" s="167"/>
      <c r="P313" s="166">
        <v>20</v>
      </c>
      <c r="Q313" s="167"/>
      <c r="R313" s="167"/>
      <c r="S313" s="185">
        <f>15000*12%</f>
        <v>1800</v>
      </c>
      <c r="T313" s="185"/>
      <c r="U313" s="166"/>
      <c r="V313" s="167">
        <v>1120</v>
      </c>
      <c r="W313" s="175">
        <f t="shared" si="53"/>
        <v>4300</v>
      </c>
      <c r="X313" s="172">
        <f t="shared" si="35"/>
        <v>11190</v>
      </c>
      <c r="Y313" s="185">
        <f>ROUND(15000*13.61%,0)</f>
        <v>2042</v>
      </c>
    </row>
    <row r="314" spans="1:25" ht="15">
      <c r="A314" s="163">
        <v>3</v>
      </c>
      <c r="B314" s="186" t="s">
        <v>15</v>
      </c>
      <c r="C314" s="165"/>
      <c r="D314" s="169"/>
      <c r="E314" s="168"/>
      <c r="F314" s="169"/>
      <c r="G314" s="168"/>
      <c r="H314" s="169"/>
      <c r="I314" s="168"/>
      <c r="J314" s="174">
        <f t="shared" si="52"/>
        <v>0</v>
      </c>
      <c r="K314" s="170"/>
      <c r="L314" s="166"/>
      <c r="M314" s="167"/>
      <c r="N314" s="166"/>
      <c r="O314" s="167"/>
      <c r="P314" s="166"/>
      <c r="Q314" s="167"/>
      <c r="R314" s="167"/>
      <c r="S314" s="170"/>
      <c r="T314" s="170"/>
      <c r="U314" s="166"/>
      <c r="V314" s="167"/>
      <c r="W314" s="175">
        <f t="shared" si="53"/>
        <v>0</v>
      </c>
      <c r="X314" s="172">
        <f t="shared" si="35"/>
        <v>0</v>
      </c>
      <c r="Y314" s="188"/>
    </row>
    <row r="315" spans="1:25" ht="30">
      <c r="A315" s="178" t="s">
        <v>354</v>
      </c>
      <c r="B315" s="183" t="s">
        <v>17</v>
      </c>
      <c r="C315" s="180"/>
      <c r="D315" s="169"/>
      <c r="E315" s="168"/>
      <c r="F315" s="169"/>
      <c r="G315" s="168"/>
      <c r="H315" s="169"/>
      <c r="I315" s="168"/>
      <c r="J315" s="174">
        <f t="shared" si="52"/>
        <v>0</v>
      </c>
      <c r="K315" s="170"/>
      <c r="L315" s="166"/>
      <c r="M315" s="167"/>
      <c r="N315" s="166"/>
      <c r="O315" s="167"/>
      <c r="P315" s="166"/>
      <c r="Q315" s="167"/>
      <c r="R315" s="167"/>
      <c r="S315" s="170"/>
      <c r="T315" s="170"/>
      <c r="U315" s="166"/>
      <c r="V315" s="167"/>
      <c r="W315" s="175">
        <f t="shared" si="53"/>
        <v>0</v>
      </c>
      <c r="X315" s="172">
        <f t="shared" si="35"/>
        <v>0</v>
      </c>
      <c r="Y315" s="188"/>
    </row>
    <row r="316" spans="1:25" ht="15">
      <c r="A316" s="163">
        <v>1</v>
      </c>
      <c r="B316" s="164" t="s">
        <v>251</v>
      </c>
      <c r="C316" s="165">
        <v>7200</v>
      </c>
      <c r="D316" s="166">
        <v>7200</v>
      </c>
      <c r="E316" s="168"/>
      <c r="F316" s="169"/>
      <c r="G316" s="168"/>
      <c r="H316" s="169"/>
      <c r="I316" s="168"/>
      <c r="J316" s="174">
        <f t="shared" si="52"/>
        <v>7200</v>
      </c>
      <c r="K316" s="170"/>
      <c r="L316" s="166">
        <f>D316*10%</f>
        <v>720</v>
      </c>
      <c r="M316" s="167"/>
      <c r="N316" s="166">
        <v>80</v>
      </c>
      <c r="O316" s="167"/>
      <c r="P316" s="166">
        <v>20</v>
      </c>
      <c r="Q316" s="167"/>
      <c r="R316" s="167"/>
      <c r="S316" s="185">
        <f aca="true" t="shared" si="54" ref="S316:S346">J316*12/100</f>
        <v>864</v>
      </c>
      <c r="T316" s="185"/>
      <c r="U316" s="166"/>
      <c r="V316" s="167"/>
      <c r="W316" s="175">
        <f t="shared" si="53"/>
        <v>1684</v>
      </c>
      <c r="X316" s="172">
        <f t="shared" si="35"/>
        <v>5516</v>
      </c>
      <c r="Y316" s="185">
        <f aca="true" t="shared" si="55" ref="Y316:Y347">ROUND(J316*13.61/100,0)</f>
        <v>980</v>
      </c>
    </row>
    <row r="317" spans="1:25" ht="15">
      <c r="A317" s="163">
        <v>2</v>
      </c>
      <c r="B317" s="164" t="s">
        <v>252</v>
      </c>
      <c r="C317" s="165">
        <v>7200</v>
      </c>
      <c r="D317" s="166">
        <v>7200</v>
      </c>
      <c r="E317" s="168"/>
      <c r="F317" s="169"/>
      <c r="G317" s="168"/>
      <c r="H317" s="169"/>
      <c r="I317" s="168"/>
      <c r="J317" s="174">
        <f t="shared" si="52"/>
        <v>7200</v>
      </c>
      <c r="K317" s="170"/>
      <c r="L317" s="166"/>
      <c r="M317" s="167"/>
      <c r="N317" s="166"/>
      <c r="O317" s="167"/>
      <c r="P317" s="166"/>
      <c r="Q317" s="167"/>
      <c r="R317" s="167"/>
      <c r="S317" s="185">
        <f t="shared" si="54"/>
        <v>864</v>
      </c>
      <c r="T317" s="185"/>
      <c r="U317" s="166"/>
      <c r="V317" s="167"/>
      <c r="W317" s="175">
        <f t="shared" si="53"/>
        <v>864</v>
      </c>
      <c r="X317" s="172">
        <f t="shared" si="35"/>
        <v>6336</v>
      </c>
      <c r="Y317" s="185">
        <f t="shared" si="55"/>
        <v>980</v>
      </c>
    </row>
    <row r="318" spans="1:25" s="177" customFormat="1" ht="15">
      <c r="A318" s="163">
        <v>3</v>
      </c>
      <c r="B318" s="164" t="s">
        <v>1360</v>
      </c>
      <c r="C318" s="165">
        <v>7200</v>
      </c>
      <c r="D318" s="166">
        <v>7200</v>
      </c>
      <c r="E318" s="167"/>
      <c r="F318" s="166"/>
      <c r="G318" s="167"/>
      <c r="H318" s="166"/>
      <c r="I318" s="167"/>
      <c r="J318" s="174">
        <f t="shared" si="52"/>
        <v>7200</v>
      </c>
      <c r="K318" s="170"/>
      <c r="L318" s="166"/>
      <c r="M318" s="167"/>
      <c r="N318" s="166"/>
      <c r="O318" s="167"/>
      <c r="P318" s="166"/>
      <c r="Q318" s="167"/>
      <c r="R318" s="167"/>
      <c r="S318" s="185">
        <v>836</v>
      </c>
      <c r="T318" s="185"/>
      <c r="U318" s="166"/>
      <c r="V318" s="167"/>
      <c r="W318" s="175">
        <f t="shared" si="53"/>
        <v>836</v>
      </c>
      <c r="X318" s="172">
        <f t="shared" si="35"/>
        <v>6364</v>
      </c>
      <c r="Y318" s="185">
        <f t="shared" si="55"/>
        <v>980</v>
      </c>
    </row>
    <row r="319" spans="1:25" ht="15">
      <c r="A319" s="163">
        <v>4</v>
      </c>
      <c r="B319" s="164" t="s">
        <v>316</v>
      </c>
      <c r="C319" s="165">
        <v>7200</v>
      </c>
      <c r="D319" s="166">
        <f aca="true" t="shared" si="56" ref="D319:D378">9600*75%</f>
        <v>7200</v>
      </c>
      <c r="E319" s="168"/>
      <c r="F319" s="169"/>
      <c r="G319" s="168"/>
      <c r="H319" s="169"/>
      <c r="I319" s="168"/>
      <c r="J319" s="174">
        <f t="shared" si="52"/>
        <v>7200</v>
      </c>
      <c r="K319" s="170"/>
      <c r="L319" s="166"/>
      <c r="M319" s="167"/>
      <c r="N319" s="166"/>
      <c r="O319" s="167"/>
      <c r="P319" s="166"/>
      <c r="Q319" s="167"/>
      <c r="R319" s="167"/>
      <c r="S319" s="185">
        <f t="shared" si="54"/>
        <v>864</v>
      </c>
      <c r="T319" s="185"/>
      <c r="U319" s="166"/>
      <c r="V319" s="167"/>
      <c r="W319" s="175">
        <f t="shared" si="53"/>
        <v>864</v>
      </c>
      <c r="X319" s="172">
        <f t="shared" si="35"/>
        <v>6336</v>
      </c>
      <c r="Y319" s="185">
        <f t="shared" si="55"/>
        <v>980</v>
      </c>
    </row>
    <row r="320" spans="1:25" ht="15">
      <c r="A320" s="163">
        <v>5</v>
      </c>
      <c r="B320" s="164" t="s">
        <v>254</v>
      </c>
      <c r="C320" s="165">
        <v>7200</v>
      </c>
      <c r="D320" s="166">
        <f t="shared" si="56"/>
        <v>7200</v>
      </c>
      <c r="E320" s="168"/>
      <c r="F320" s="169"/>
      <c r="G320" s="168"/>
      <c r="H320" s="169"/>
      <c r="I320" s="168"/>
      <c r="J320" s="174">
        <f t="shared" si="52"/>
        <v>7200</v>
      </c>
      <c r="K320" s="170"/>
      <c r="L320" s="166"/>
      <c r="M320" s="167"/>
      <c r="N320" s="166"/>
      <c r="O320" s="167"/>
      <c r="P320" s="166"/>
      <c r="Q320" s="167"/>
      <c r="R320" s="167"/>
      <c r="S320" s="185">
        <f t="shared" si="54"/>
        <v>864</v>
      </c>
      <c r="T320" s="185"/>
      <c r="U320" s="166"/>
      <c r="V320" s="167">
        <v>682</v>
      </c>
      <c r="W320" s="175">
        <f t="shared" si="53"/>
        <v>1546</v>
      </c>
      <c r="X320" s="172">
        <f aca="true" t="shared" si="57" ref="X320:X383">J320-W320</f>
        <v>5654</v>
      </c>
      <c r="Y320" s="185">
        <f t="shared" si="55"/>
        <v>980</v>
      </c>
    </row>
    <row r="321" spans="1:25" ht="15">
      <c r="A321" s="163">
        <v>6</v>
      </c>
      <c r="B321" s="164" t="s">
        <v>1549</v>
      </c>
      <c r="C321" s="165">
        <v>7200</v>
      </c>
      <c r="D321" s="166">
        <f>ROUND(C321*25/31,0)</f>
        <v>5806</v>
      </c>
      <c r="E321" s="168"/>
      <c r="F321" s="169"/>
      <c r="G321" s="168"/>
      <c r="H321" s="169"/>
      <c r="I321" s="168"/>
      <c r="J321" s="174">
        <f t="shared" si="52"/>
        <v>5806</v>
      </c>
      <c r="K321" s="170"/>
      <c r="L321" s="166"/>
      <c r="M321" s="167"/>
      <c r="N321" s="166"/>
      <c r="O321" s="167"/>
      <c r="P321" s="166"/>
      <c r="Q321" s="167"/>
      <c r="R321" s="167"/>
      <c r="S321" s="185">
        <f>ROUND(J321*12/100,0)</f>
        <v>697</v>
      </c>
      <c r="T321" s="185"/>
      <c r="U321" s="166"/>
      <c r="V321" s="167"/>
      <c r="W321" s="175">
        <f t="shared" si="53"/>
        <v>697</v>
      </c>
      <c r="X321" s="172">
        <f t="shared" si="57"/>
        <v>5109</v>
      </c>
      <c r="Y321" s="185">
        <f t="shared" si="55"/>
        <v>790</v>
      </c>
    </row>
    <row r="322" spans="1:25" ht="15">
      <c r="A322" s="163">
        <v>7</v>
      </c>
      <c r="B322" s="164" t="s">
        <v>1448</v>
      </c>
      <c r="C322" s="165">
        <v>7200</v>
      </c>
      <c r="D322" s="166">
        <f t="shared" si="56"/>
        <v>7200</v>
      </c>
      <c r="E322" s="168"/>
      <c r="F322" s="169"/>
      <c r="G322" s="168"/>
      <c r="H322" s="169"/>
      <c r="I322" s="168"/>
      <c r="J322" s="174">
        <f t="shared" si="52"/>
        <v>7200</v>
      </c>
      <c r="K322" s="170"/>
      <c r="L322" s="166"/>
      <c r="M322" s="167"/>
      <c r="N322" s="166"/>
      <c r="O322" s="167"/>
      <c r="P322" s="166"/>
      <c r="Q322" s="167"/>
      <c r="R322" s="167"/>
      <c r="S322" s="185">
        <f>ROUND(J322*12/100,0)</f>
        <v>864</v>
      </c>
      <c r="T322" s="185"/>
      <c r="U322" s="166"/>
      <c r="V322" s="167">
        <v>966</v>
      </c>
      <c r="W322" s="175">
        <f t="shared" si="53"/>
        <v>1830</v>
      </c>
      <c r="X322" s="172">
        <f t="shared" si="57"/>
        <v>5370</v>
      </c>
      <c r="Y322" s="185">
        <f t="shared" si="55"/>
        <v>980</v>
      </c>
    </row>
    <row r="323" spans="1:25" ht="15">
      <c r="A323" s="163">
        <v>8</v>
      </c>
      <c r="B323" s="164" t="s">
        <v>1073</v>
      </c>
      <c r="C323" s="165">
        <v>7200</v>
      </c>
      <c r="D323" s="166">
        <f t="shared" si="56"/>
        <v>7200</v>
      </c>
      <c r="E323" s="168"/>
      <c r="F323" s="169"/>
      <c r="G323" s="168"/>
      <c r="H323" s="169"/>
      <c r="I323" s="168"/>
      <c r="J323" s="174">
        <f t="shared" si="52"/>
        <v>7200</v>
      </c>
      <c r="K323" s="170"/>
      <c r="L323" s="166"/>
      <c r="M323" s="167"/>
      <c r="N323" s="166"/>
      <c r="O323" s="167"/>
      <c r="P323" s="166"/>
      <c r="Q323" s="167"/>
      <c r="R323" s="167"/>
      <c r="S323" s="185">
        <f>ROUND(J323*12/100,0)</f>
        <v>864</v>
      </c>
      <c r="T323" s="185"/>
      <c r="U323" s="166"/>
      <c r="V323" s="167">
        <v>469</v>
      </c>
      <c r="W323" s="175">
        <f t="shared" si="53"/>
        <v>1333</v>
      </c>
      <c r="X323" s="172">
        <f t="shared" si="57"/>
        <v>5867</v>
      </c>
      <c r="Y323" s="185">
        <f t="shared" si="55"/>
        <v>980</v>
      </c>
    </row>
    <row r="324" spans="1:25" ht="15">
      <c r="A324" s="163">
        <v>9</v>
      </c>
      <c r="B324" s="164" t="s">
        <v>349</v>
      </c>
      <c r="C324" s="165">
        <v>7200</v>
      </c>
      <c r="D324" s="166">
        <f t="shared" si="56"/>
        <v>7200</v>
      </c>
      <c r="E324" s="168"/>
      <c r="F324" s="169"/>
      <c r="G324" s="168"/>
      <c r="H324" s="169"/>
      <c r="I324" s="168"/>
      <c r="J324" s="174">
        <f t="shared" si="52"/>
        <v>7200</v>
      </c>
      <c r="K324" s="170"/>
      <c r="L324" s="166"/>
      <c r="M324" s="167"/>
      <c r="N324" s="166"/>
      <c r="O324" s="167"/>
      <c r="P324" s="166"/>
      <c r="Q324" s="167"/>
      <c r="R324" s="167"/>
      <c r="S324" s="185">
        <f t="shared" si="54"/>
        <v>864</v>
      </c>
      <c r="T324" s="185"/>
      <c r="U324" s="166"/>
      <c r="V324" s="167"/>
      <c r="W324" s="175">
        <f t="shared" si="53"/>
        <v>864</v>
      </c>
      <c r="X324" s="172">
        <f t="shared" si="57"/>
        <v>6336</v>
      </c>
      <c r="Y324" s="185">
        <f t="shared" si="55"/>
        <v>980</v>
      </c>
    </row>
    <row r="325" spans="1:25" ht="15.75" customHeight="1">
      <c r="A325" s="163">
        <v>10</v>
      </c>
      <c r="B325" s="164" t="s">
        <v>358</v>
      </c>
      <c r="C325" s="165">
        <v>7200</v>
      </c>
      <c r="D325" s="166">
        <f t="shared" si="56"/>
        <v>7200</v>
      </c>
      <c r="E325" s="168"/>
      <c r="F325" s="169"/>
      <c r="G325" s="168"/>
      <c r="H325" s="169"/>
      <c r="I325" s="168"/>
      <c r="J325" s="174">
        <f t="shared" si="52"/>
        <v>7200</v>
      </c>
      <c r="K325" s="170"/>
      <c r="L325" s="166"/>
      <c r="M325" s="167"/>
      <c r="N325" s="166"/>
      <c r="O325" s="167"/>
      <c r="P325" s="166"/>
      <c r="Q325" s="167"/>
      <c r="R325" s="167"/>
      <c r="S325" s="185">
        <f t="shared" si="54"/>
        <v>864</v>
      </c>
      <c r="T325" s="185"/>
      <c r="U325" s="166"/>
      <c r="V325" s="167">
        <v>463</v>
      </c>
      <c r="W325" s="175">
        <f t="shared" si="53"/>
        <v>1327</v>
      </c>
      <c r="X325" s="172">
        <f t="shared" si="57"/>
        <v>5873</v>
      </c>
      <c r="Y325" s="185">
        <f t="shared" si="55"/>
        <v>980</v>
      </c>
    </row>
    <row r="326" spans="1:25" ht="15">
      <c r="A326" s="163">
        <v>11</v>
      </c>
      <c r="B326" s="164" t="s">
        <v>1449</v>
      </c>
      <c r="C326" s="165">
        <v>7200</v>
      </c>
      <c r="D326" s="166">
        <f t="shared" si="56"/>
        <v>7200</v>
      </c>
      <c r="E326" s="168"/>
      <c r="F326" s="169"/>
      <c r="G326" s="168"/>
      <c r="H326" s="169"/>
      <c r="I326" s="168"/>
      <c r="J326" s="174">
        <f t="shared" si="52"/>
        <v>7200</v>
      </c>
      <c r="K326" s="170"/>
      <c r="L326" s="166"/>
      <c r="M326" s="167"/>
      <c r="N326" s="166"/>
      <c r="O326" s="167"/>
      <c r="P326" s="166"/>
      <c r="Q326" s="167"/>
      <c r="R326" s="167"/>
      <c r="S326" s="185">
        <v>836</v>
      </c>
      <c r="T326" s="185"/>
      <c r="U326" s="166"/>
      <c r="V326" s="167"/>
      <c r="W326" s="175">
        <f t="shared" si="53"/>
        <v>836</v>
      </c>
      <c r="X326" s="172">
        <f t="shared" si="57"/>
        <v>6364</v>
      </c>
      <c r="Y326" s="185">
        <f t="shared" si="55"/>
        <v>980</v>
      </c>
    </row>
    <row r="327" spans="1:25" s="177" customFormat="1" ht="15">
      <c r="A327" s="163">
        <v>12</v>
      </c>
      <c r="B327" s="164" t="s">
        <v>336</v>
      </c>
      <c r="C327" s="165">
        <v>7200</v>
      </c>
      <c r="D327" s="166">
        <f t="shared" si="56"/>
        <v>7200</v>
      </c>
      <c r="E327" s="167"/>
      <c r="F327" s="166"/>
      <c r="G327" s="167"/>
      <c r="H327" s="166"/>
      <c r="I327" s="167"/>
      <c r="J327" s="174">
        <f t="shared" si="52"/>
        <v>7200</v>
      </c>
      <c r="K327" s="170"/>
      <c r="L327" s="166"/>
      <c r="M327" s="167"/>
      <c r="N327" s="166"/>
      <c r="O327" s="167"/>
      <c r="P327" s="166"/>
      <c r="Q327" s="167"/>
      <c r="R327" s="167"/>
      <c r="S327" s="185">
        <f t="shared" si="54"/>
        <v>864</v>
      </c>
      <c r="T327" s="185"/>
      <c r="U327" s="166"/>
      <c r="V327" s="167"/>
      <c r="W327" s="175">
        <f t="shared" si="53"/>
        <v>864</v>
      </c>
      <c r="X327" s="172">
        <f t="shared" si="57"/>
        <v>6336</v>
      </c>
      <c r="Y327" s="185">
        <f t="shared" si="55"/>
        <v>980</v>
      </c>
    </row>
    <row r="328" spans="1:25" ht="15">
      <c r="A328" s="163">
        <v>13</v>
      </c>
      <c r="B328" s="164" t="s">
        <v>348</v>
      </c>
      <c r="C328" s="165">
        <v>7200</v>
      </c>
      <c r="D328" s="166">
        <f t="shared" si="56"/>
        <v>7200</v>
      </c>
      <c r="E328" s="168"/>
      <c r="F328" s="169"/>
      <c r="G328" s="168"/>
      <c r="H328" s="169"/>
      <c r="I328" s="168"/>
      <c r="J328" s="174">
        <f t="shared" si="52"/>
        <v>7200</v>
      </c>
      <c r="K328" s="170"/>
      <c r="L328" s="166"/>
      <c r="M328" s="167"/>
      <c r="N328" s="166"/>
      <c r="O328" s="167"/>
      <c r="P328" s="166"/>
      <c r="Q328" s="167"/>
      <c r="R328" s="167"/>
      <c r="S328" s="185">
        <f t="shared" si="54"/>
        <v>864</v>
      </c>
      <c r="T328" s="185"/>
      <c r="U328" s="166"/>
      <c r="V328" s="167"/>
      <c r="W328" s="175">
        <f t="shared" si="53"/>
        <v>864</v>
      </c>
      <c r="X328" s="172">
        <f t="shared" si="57"/>
        <v>6336</v>
      </c>
      <c r="Y328" s="185">
        <f t="shared" si="55"/>
        <v>980</v>
      </c>
    </row>
    <row r="329" spans="1:25" ht="15">
      <c r="A329" s="163">
        <v>14</v>
      </c>
      <c r="B329" s="164" t="s">
        <v>1198</v>
      </c>
      <c r="C329" s="165">
        <v>7200</v>
      </c>
      <c r="D329" s="166">
        <f t="shared" si="56"/>
        <v>7200</v>
      </c>
      <c r="E329" s="168"/>
      <c r="F329" s="169"/>
      <c r="G329" s="168"/>
      <c r="H329" s="169"/>
      <c r="I329" s="168"/>
      <c r="J329" s="174">
        <f t="shared" si="52"/>
        <v>7200</v>
      </c>
      <c r="K329" s="170"/>
      <c r="L329" s="166"/>
      <c r="M329" s="167"/>
      <c r="N329" s="166"/>
      <c r="O329" s="167"/>
      <c r="P329" s="166"/>
      <c r="Q329" s="167"/>
      <c r="R329" s="167"/>
      <c r="S329" s="185">
        <f t="shared" si="54"/>
        <v>864</v>
      </c>
      <c r="T329" s="185"/>
      <c r="U329" s="166"/>
      <c r="V329" s="167">
        <v>628</v>
      </c>
      <c r="W329" s="175">
        <f t="shared" si="53"/>
        <v>1492</v>
      </c>
      <c r="X329" s="172">
        <f t="shared" si="57"/>
        <v>5708</v>
      </c>
      <c r="Y329" s="185">
        <f t="shared" si="55"/>
        <v>980</v>
      </c>
    </row>
    <row r="330" spans="1:25" ht="15">
      <c r="A330" s="163">
        <v>15</v>
      </c>
      <c r="B330" s="164" t="s">
        <v>810</v>
      </c>
      <c r="C330" s="165">
        <v>7200</v>
      </c>
      <c r="D330" s="166">
        <f t="shared" si="56"/>
        <v>7200</v>
      </c>
      <c r="E330" s="168"/>
      <c r="F330" s="169"/>
      <c r="G330" s="168"/>
      <c r="H330" s="169"/>
      <c r="I330" s="168"/>
      <c r="J330" s="174">
        <f t="shared" si="52"/>
        <v>7200</v>
      </c>
      <c r="K330" s="170"/>
      <c r="L330" s="166"/>
      <c r="M330" s="167"/>
      <c r="N330" s="166"/>
      <c r="O330" s="167"/>
      <c r="P330" s="166"/>
      <c r="Q330" s="167"/>
      <c r="R330" s="167"/>
      <c r="S330" s="185">
        <f>ROUND(J330*12/100,0)</f>
        <v>864</v>
      </c>
      <c r="T330" s="185"/>
      <c r="U330" s="166"/>
      <c r="V330" s="167"/>
      <c r="W330" s="175">
        <f t="shared" si="53"/>
        <v>864</v>
      </c>
      <c r="X330" s="172">
        <f t="shared" si="57"/>
        <v>6336</v>
      </c>
      <c r="Y330" s="185">
        <f t="shared" si="55"/>
        <v>980</v>
      </c>
    </row>
    <row r="331" spans="1:25" ht="15">
      <c r="A331" s="163">
        <v>16</v>
      </c>
      <c r="B331" s="164" t="s">
        <v>259</v>
      </c>
      <c r="C331" s="165">
        <v>7200</v>
      </c>
      <c r="D331" s="166">
        <f t="shared" si="56"/>
        <v>7200</v>
      </c>
      <c r="E331" s="168"/>
      <c r="F331" s="169"/>
      <c r="G331" s="168"/>
      <c r="H331" s="169"/>
      <c r="I331" s="168"/>
      <c r="J331" s="174">
        <f t="shared" si="52"/>
        <v>7200</v>
      </c>
      <c r="K331" s="170"/>
      <c r="L331" s="166"/>
      <c r="M331" s="167"/>
      <c r="N331" s="166"/>
      <c r="O331" s="167"/>
      <c r="P331" s="166"/>
      <c r="Q331" s="167"/>
      <c r="R331" s="167"/>
      <c r="S331" s="185">
        <f t="shared" si="54"/>
        <v>864</v>
      </c>
      <c r="T331" s="185"/>
      <c r="U331" s="166"/>
      <c r="V331" s="167">
        <f>490+495</f>
        <v>985</v>
      </c>
      <c r="W331" s="175">
        <f t="shared" si="53"/>
        <v>1849</v>
      </c>
      <c r="X331" s="172">
        <f t="shared" si="57"/>
        <v>5351</v>
      </c>
      <c r="Y331" s="185">
        <f t="shared" si="55"/>
        <v>980</v>
      </c>
    </row>
    <row r="332" spans="1:25" ht="15.75" customHeight="1">
      <c r="A332" s="163">
        <v>17</v>
      </c>
      <c r="B332" s="164" t="s">
        <v>347</v>
      </c>
      <c r="C332" s="165">
        <v>7200</v>
      </c>
      <c r="D332" s="166">
        <f t="shared" si="56"/>
        <v>7200</v>
      </c>
      <c r="E332" s="168"/>
      <c r="F332" s="169"/>
      <c r="G332" s="168"/>
      <c r="H332" s="169"/>
      <c r="I332" s="168"/>
      <c r="J332" s="174">
        <f t="shared" si="52"/>
        <v>7200</v>
      </c>
      <c r="K332" s="170"/>
      <c r="L332" s="166"/>
      <c r="M332" s="167"/>
      <c r="N332" s="166"/>
      <c r="O332" s="167"/>
      <c r="P332" s="166"/>
      <c r="Q332" s="167"/>
      <c r="R332" s="167"/>
      <c r="S332" s="185">
        <f t="shared" si="54"/>
        <v>864</v>
      </c>
      <c r="T332" s="185"/>
      <c r="U332" s="166"/>
      <c r="V332" s="167">
        <v>477</v>
      </c>
      <c r="W332" s="175">
        <f t="shared" si="53"/>
        <v>1341</v>
      </c>
      <c r="X332" s="172">
        <f t="shared" si="57"/>
        <v>5859</v>
      </c>
      <c r="Y332" s="185">
        <f t="shared" si="55"/>
        <v>980</v>
      </c>
    </row>
    <row r="333" spans="1:25" ht="15">
      <c r="A333" s="163">
        <v>18</v>
      </c>
      <c r="B333" s="164" t="s">
        <v>297</v>
      </c>
      <c r="C333" s="165">
        <v>7200</v>
      </c>
      <c r="D333" s="166">
        <v>7200</v>
      </c>
      <c r="E333" s="168"/>
      <c r="F333" s="169"/>
      <c r="G333" s="168"/>
      <c r="H333" s="169"/>
      <c r="I333" s="168"/>
      <c r="J333" s="174">
        <f t="shared" si="52"/>
        <v>7200</v>
      </c>
      <c r="K333" s="170"/>
      <c r="L333" s="166"/>
      <c r="M333" s="167"/>
      <c r="N333" s="166"/>
      <c r="O333" s="167"/>
      <c r="P333" s="166"/>
      <c r="Q333" s="167"/>
      <c r="R333" s="167"/>
      <c r="S333" s="185">
        <f t="shared" si="54"/>
        <v>864</v>
      </c>
      <c r="T333" s="185"/>
      <c r="U333" s="166"/>
      <c r="V333" s="167"/>
      <c r="W333" s="175">
        <f t="shared" si="53"/>
        <v>864</v>
      </c>
      <c r="X333" s="172">
        <f t="shared" si="57"/>
        <v>6336</v>
      </c>
      <c r="Y333" s="185">
        <f t="shared" si="55"/>
        <v>980</v>
      </c>
    </row>
    <row r="334" spans="1:25" ht="27">
      <c r="A334" s="163">
        <v>19</v>
      </c>
      <c r="B334" s="164" t="s">
        <v>258</v>
      </c>
      <c r="C334" s="165">
        <v>7200</v>
      </c>
      <c r="D334" s="166">
        <v>7200</v>
      </c>
      <c r="E334" s="168"/>
      <c r="F334" s="169"/>
      <c r="G334" s="168"/>
      <c r="H334" s="169"/>
      <c r="I334" s="168"/>
      <c r="J334" s="174">
        <f t="shared" si="52"/>
        <v>7200</v>
      </c>
      <c r="K334" s="170"/>
      <c r="L334" s="166"/>
      <c r="M334" s="167"/>
      <c r="N334" s="166"/>
      <c r="O334" s="167"/>
      <c r="P334" s="166"/>
      <c r="Q334" s="167"/>
      <c r="R334" s="167"/>
      <c r="S334" s="185">
        <f t="shared" si="54"/>
        <v>864</v>
      </c>
      <c r="T334" s="185"/>
      <c r="U334" s="166"/>
      <c r="V334" s="167">
        <v>485</v>
      </c>
      <c r="W334" s="175">
        <f t="shared" si="53"/>
        <v>1349</v>
      </c>
      <c r="X334" s="172">
        <f t="shared" si="57"/>
        <v>5851</v>
      </c>
      <c r="Y334" s="185">
        <f t="shared" si="55"/>
        <v>980</v>
      </c>
    </row>
    <row r="335" spans="1:25" ht="15">
      <c r="A335" s="163">
        <v>20</v>
      </c>
      <c r="B335" s="164" t="s">
        <v>908</v>
      </c>
      <c r="C335" s="165">
        <v>7200</v>
      </c>
      <c r="D335" s="166">
        <v>7200</v>
      </c>
      <c r="E335" s="168"/>
      <c r="F335" s="169"/>
      <c r="G335" s="168"/>
      <c r="H335" s="169"/>
      <c r="I335" s="168"/>
      <c r="J335" s="174">
        <f t="shared" si="52"/>
        <v>7200</v>
      </c>
      <c r="K335" s="170"/>
      <c r="L335" s="166"/>
      <c r="M335" s="167"/>
      <c r="N335" s="166"/>
      <c r="O335" s="167"/>
      <c r="P335" s="166"/>
      <c r="Q335" s="167"/>
      <c r="R335" s="167"/>
      <c r="S335" s="185">
        <f>ROUND(J335*12/100,0)</f>
        <v>864</v>
      </c>
      <c r="T335" s="185"/>
      <c r="U335" s="166"/>
      <c r="V335" s="167"/>
      <c r="W335" s="175">
        <f t="shared" si="53"/>
        <v>864</v>
      </c>
      <c r="X335" s="172">
        <f t="shared" si="57"/>
        <v>6336</v>
      </c>
      <c r="Y335" s="185">
        <f t="shared" si="55"/>
        <v>980</v>
      </c>
    </row>
    <row r="336" spans="1:25" ht="14.25" customHeight="1">
      <c r="A336" s="163">
        <v>21</v>
      </c>
      <c r="B336" s="164" t="s">
        <v>256</v>
      </c>
      <c r="C336" s="165">
        <v>7200</v>
      </c>
      <c r="D336" s="166">
        <v>7200</v>
      </c>
      <c r="E336" s="168"/>
      <c r="F336" s="169"/>
      <c r="G336" s="168"/>
      <c r="H336" s="169"/>
      <c r="I336" s="168"/>
      <c r="J336" s="174">
        <f t="shared" si="52"/>
        <v>7200</v>
      </c>
      <c r="K336" s="170"/>
      <c r="L336" s="166"/>
      <c r="M336" s="167"/>
      <c r="N336" s="166"/>
      <c r="O336" s="167"/>
      <c r="P336" s="166"/>
      <c r="Q336" s="167"/>
      <c r="R336" s="167"/>
      <c r="S336" s="185">
        <f t="shared" si="54"/>
        <v>864</v>
      </c>
      <c r="T336" s="185"/>
      <c r="U336" s="166"/>
      <c r="V336" s="167"/>
      <c r="W336" s="175">
        <f t="shared" si="53"/>
        <v>864</v>
      </c>
      <c r="X336" s="172">
        <f t="shared" si="57"/>
        <v>6336</v>
      </c>
      <c r="Y336" s="185">
        <f t="shared" si="55"/>
        <v>980</v>
      </c>
    </row>
    <row r="337" spans="1:25" ht="15">
      <c r="A337" s="163">
        <v>22</v>
      </c>
      <c r="B337" s="164" t="s">
        <v>337</v>
      </c>
      <c r="C337" s="165">
        <v>7200</v>
      </c>
      <c r="D337" s="166">
        <f t="shared" si="56"/>
        <v>7200</v>
      </c>
      <c r="E337" s="168"/>
      <c r="F337" s="169"/>
      <c r="G337" s="168"/>
      <c r="H337" s="169"/>
      <c r="I337" s="168"/>
      <c r="J337" s="174">
        <f t="shared" si="52"/>
        <v>7200</v>
      </c>
      <c r="K337" s="170"/>
      <c r="L337" s="166"/>
      <c r="M337" s="167"/>
      <c r="N337" s="166"/>
      <c r="O337" s="167"/>
      <c r="P337" s="166"/>
      <c r="Q337" s="167"/>
      <c r="R337" s="167"/>
      <c r="S337" s="185">
        <f t="shared" si="54"/>
        <v>864</v>
      </c>
      <c r="T337" s="185"/>
      <c r="U337" s="166"/>
      <c r="V337" s="167"/>
      <c r="W337" s="175">
        <f t="shared" si="53"/>
        <v>864</v>
      </c>
      <c r="X337" s="172">
        <f t="shared" si="57"/>
        <v>6336</v>
      </c>
      <c r="Y337" s="185">
        <f t="shared" si="55"/>
        <v>980</v>
      </c>
    </row>
    <row r="338" spans="1:25" ht="15">
      <c r="A338" s="163">
        <v>23</v>
      </c>
      <c r="B338" s="164" t="s">
        <v>299</v>
      </c>
      <c r="C338" s="165">
        <v>7200</v>
      </c>
      <c r="D338" s="166">
        <f t="shared" si="56"/>
        <v>7200</v>
      </c>
      <c r="E338" s="168"/>
      <c r="F338" s="169"/>
      <c r="G338" s="168"/>
      <c r="H338" s="169"/>
      <c r="I338" s="168"/>
      <c r="J338" s="174">
        <f t="shared" si="52"/>
        <v>7200</v>
      </c>
      <c r="K338" s="170"/>
      <c r="L338" s="166"/>
      <c r="M338" s="167"/>
      <c r="N338" s="166"/>
      <c r="O338" s="167"/>
      <c r="P338" s="166"/>
      <c r="Q338" s="167"/>
      <c r="R338" s="167"/>
      <c r="S338" s="185">
        <f t="shared" si="54"/>
        <v>864</v>
      </c>
      <c r="T338" s="185"/>
      <c r="U338" s="166"/>
      <c r="V338" s="167"/>
      <c r="W338" s="175">
        <f t="shared" si="53"/>
        <v>864</v>
      </c>
      <c r="X338" s="172">
        <f t="shared" si="57"/>
        <v>6336</v>
      </c>
      <c r="Y338" s="185">
        <f t="shared" si="55"/>
        <v>980</v>
      </c>
    </row>
    <row r="339" spans="1:25" ht="15">
      <c r="A339" s="163">
        <v>24</v>
      </c>
      <c r="B339" s="164" t="s">
        <v>350</v>
      </c>
      <c r="C339" s="165">
        <v>7200</v>
      </c>
      <c r="D339" s="166">
        <f t="shared" si="56"/>
        <v>7200</v>
      </c>
      <c r="E339" s="168"/>
      <c r="F339" s="169"/>
      <c r="G339" s="168"/>
      <c r="H339" s="169"/>
      <c r="I339" s="168"/>
      <c r="J339" s="174">
        <f t="shared" si="52"/>
        <v>7200</v>
      </c>
      <c r="K339" s="170"/>
      <c r="L339" s="166"/>
      <c r="M339" s="167"/>
      <c r="N339" s="166"/>
      <c r="O339" s="167"/>
      <c r="P339" s="166"/>
      <c r="Q339" s="167"/>
      <c r="R339" s="167"/>
      <c r="S339" s="185">
        <f t="shared" si="54"/>
        <v>864</v>
      </c>
      <c r="T339" s="185"/>
      <c r="U339" s="166"/>
      <c r="V339" s="167"/>
      <c r="W339" s="175">
        <f t="shared" si="53"/>
        <v>864</v>
      </c>
      <c r="X339" s="172">
        <f t="shared" si="57"/>
        <v>6336</v>
      </c>
      <c r="Y339" s="185">
        <f t="shared" si="55"/>
        <v>980</v>
      </c>
    </row>
    <row r="340" spans="1:25" ht="15">
      <c r="A340" s="163">
        <v>25</v>
      </c>
      <c r="B340" s="164" t="s">
        <v>1254</v>
      </c>
      <c r="C340" s="165">
        <v>7200</v>
      </c>
      <c r="D340" s="166">
        <v>0</v>
      </c>
      <c r="E340" s="168"/>
      <c r="F340" s="169"/>
      <c r="G340" s="168"/>
      <c r="H340" s="169"/>
      <c r="I340" s="168"/>
      <c r="J340" s="174">
        <f t="shared" si="52"/>
        <v>0</v>
      </c>
      <c r="K340" s="170"/>
      <c r="L340" s="166"/>
      <c r="M340" s="167"/>
      <c r="N340" s="166"/>
      <c r="O340" s="167"/>
      <c r="P340" s="166"/>
      <c r="Q340" s="167"/>
      <c r="R340" s="167"/>
      <c r="S340" s="185">
        <f t="shared" si="54"/>
        <v>0</v>
      </c>
      <c r="T340" s="185"/>
      <c r="U340" s="166"/>
      <c r="V340" s="167"/>
      <c r="W340" s="175">
        <f t="shared" si="53"/>
        <v>0</v>
      </c>
      <c r="X340" s="172">
        <f t="shared" si="57"/>
        <v>0</v>
      </c>
      <c r="Y340" s="185">
        <f t="shared" si="55"/>
        <v>0</v>
      </c>
    </row>
    <row r="341" spans="1:25" ht="13.5" customHeight="1">
      <c r="A341" s="163">
        <v>26</v>
      </c>
      <c r="B341" s="164" t="s">
        <v>1541</v>
      </c>
      <c r="C341" s="165">
        <v>7200</v>
      </c>
      <c r="D341" s="166">
        <f>ROUND(C341*29/31,0)</f>
        <v>6735</v>
      </c>
      <c r="E341" s="168"/>
      <c r="F341" s="169"/>
      <c r="G341" s="168"/>
      <c r="H341" s="169"/>
      <c r="I341" s="168"/>
      <c r="J341" s="174">
        <f t="shared" si="52"/>
        <v>6735</v>
      </c>
      <c r="K341" s="170"/>
      <c r="L341" s="166"/>
      <c r="M341" s="167"/>
      <c r="N341" s="166"/>
      <c r="O341" s="167"/>
      <c r="P341" s="166"/>
      <c r="Q341" s="167"/>
      <c r="R341" s="167"/>
      <c r="S341" s="185">
        <f>ROUND(J341*12/100,0)</f>
        <v>808</v>
      </c>
      <c r="T341" s="185"/>
      <c r="U341" s="166"/>
      <c r="V341" s="167"/>
      <c r="W341" s="175">
        <f t="shared" si="53"/>
        <v>808</v>
      </c>
      <c r="X341" s="172">
        <f t="shared" si="57"/>
        <v>5927</v>
      </c>
      <c r="Y341" s="185">
        <f t="shared" si="55"/>
        <v>917</v>
      </c>
    </row>
    <row r="342" spans="1:25" ht="15">
      <c r="A342" s="163">
        <v>27</v>
      </c>
      <c r="B342" s="164" t="s">
        <v>335</v>
      </c>
      <c r="C342" s="165">
        <v>7200</v>
      </c>
      <c r="D342" s="166">
        <f t="shared" si="56"/>
        <v>7200</v>
      </c>
      <c r="E342" s="168"/>
      <c r="F342" s="169"/>
      <c r="G342" s="168"/>
      <c r="H342" s="169"/>
      <c r="I342" s="168"/>
      <c r="J342" s="174">
        <f t="shared" si="52"/>
        <v>7200</v>
      </c>
      <c r="K342" s="170"/>
      <c r="L342" s="166"/>
      <c r="M342" s="167"/>
      <c r="N342" s="166"/>
      <c r="O342" s="167"/>
      <c r="P342" s="166"/>
      <c r="Q342" s="167"/>
      <c r="R342" s="167"/>
      <c r="S342" s="185">
        <f t="shared" si="54"/>
        <v>864</v>
      </c>
      <c r="T342" s="185"/>
      <c r="U342" s="166"/>
      <c r="V342" s="167"/>
      <c r="W342" s="175">
        <f t="shared" si="53"/>
        <v>864</v>
      </c>
      <c r="X342" s="172">
        <f t="shared" si="57"/>
        <v>6336</v>
      </c>
      <c r="Y342" s="185">
        <f t="shared" si="55"/>
        <v>980</v>
      </c>
    </row>
    <row r="343" spans="1:25" ht="15">
      <c r="A343" s="163">
        <v>28</v>
      </c>
      <c r="B343" s="164" t="s">
        <v>362</v>
      </c>
      <c r="C343" s="165">
        <v>7200</v>
      </c>
      <c r="D343" s="166">
        <f t="shared" si="56"/>
        <v>7200</v>
      </c>
      <c r="E343" s="168"/>
      <c r="F343" s="169"/>
      <c r="G343" s="168"/>
      <c r="H343" s="169"/>
      <c r="I343" s="168"/>
      <c r="J343" s="174">
        <f t="shared" si="52"/>
        <v>7200</v>
      </c>
      <c r="K343" s="170"/>
      <c r="L343" s="166"/>
      <c r="M343" s="167"/>
      <c r="N343" s="166"/>
      <c r="O343" s="167"/>
      <c r="P343" s="166"/>
      <c r="Q343" s="167"/>
      <c r="R343" s="167"/>
      <c r="S343" s="185">
        <f t="shared" si="54"/>
        <v>864</v>
      </c>
      <c r="T343" s="185"/>
      <c r="U343" s="166"/>
      <c r="V343" s="167"/>
      <c r="W343" s="175">
        <f t="shared" si="53"/>
        <v>864</v>
      </c>
      <c r="X343" s="172">
        <f t="shared" si="57"/>
        <v>6336</v>
      </c>
      <c r="Y343" s="185">
        <f t="shared" si="55"/>
        <v>980</v>
      </c>
    </row>
    <row r="344" spans="1:25" s="177" customFormat="1" ht="54">
      <c r="A344" s="163">
        <v>29</v>
      </c>
      <c r="B344" s="164" t="s">
        <v>983</v>
      </c>
      <c r="C344" s="165">
        <v>7200</v>
      </c>
      <c r="D344" s="166">
        <f t="shared" si="56"/>
        <v>7200</v>
      </c>
      <c r="E344" s="167"/>
      <c r="F344" s="166"/>
      <c r="G344" s="167"/>
      <c r="H344" s="166"/>
      <c r="I344" s="167"/>
      <c r="J344" s="174">
        <f t="shared" si="52"/>
        <v>7200</v>
      </c>
      <c r="K344" s="170"/>
      <c r="L344" s="166"/>
      <c r="M344" s="167"/>
      <c r="N344" s="166"/>
      <c r="O344" s="167"/>
      <c r="P344" s="166"/>
      <c r="Q344" s="167"/>
      <c r="R344" s="167"/>
      <c r="S344" s="185">
        <f t="shared" si="54"/>
        <v>864</v>
      </c>
      <c r="T344" s="185"/>
      <c r="U344" s="166"/>
      <c r="V344" s="167"/>
      <c r="W344" s="175">
        <f t="shared" si="53"/>
        <v>864</v>
      </c>
      <c r="X344" s="172">
        <f t="shared" si="57"/>
        <v>6336</v>
      </c>
      <c r="Y344" s="185">
        <f t="shared" si="55"/>
        <v>980</v>
      </c>
    </row>
    <row r="345" spans="1:25" ht="15">
      <c r="A345" s="163">
        <v>30</v>
      </c>
      <c r="B345" s="164" t="s">
        <v>226</v>
      </c>
      <c r="C345" s="165">
        <v>7200</v>
      </c>
      <c r="D345" s="166">
        <f t="shared" si="56"/>
        <v>7200</v>
      </c>
      <c r="E345" s="168"/>
      <c r="F345" s="169"/>
      <c r="G345" s="168"/>
      <c r="H345" s="169"/>
      <c r="I345" s="168"/>
      <c r="J345" s="174">
        <f t="shared" si="52"/>
        <v>7200</v>
      </c>
      <c r="K345" s="170"/>
      <c r="L345" s="166"/>
      <c r="M345" s="167"/>
      <c r="N345" s="166"/>
      <c r="O345" s="167"/>
      <c r="P345" s="166"/>
      <c r="Q345" s="167"/>
      <c r="R345" s="167"/>
      <c r="S345" s="185">
        <f t="shared" si="54"/>
        <v>864</v>
      </c>
      <c r="T345" s="185"/>
      <c r="U345" s="166"/>
      <c r="V345" s="167"/>
      <c r="W345" s="175">
        <f t="shared" si="53"/>
        <v>864</v>
      </c>
      <c r="X345" s="172">
        <f t="shared" si="57"/>
        <v>6336</v>
      </c>
      <c r="Y345" s="185">
        <f t="shared" si="55"/>
        <v>980</v>
      </c>
    </row>
    <row r="346" spans="1:25" ht="15">
      <c r="A346" s="163">
        <v>31</v>
      </c>
      <c r="B346" s="164" t="s">
        <v>296</v>
      </c>
      <c r="C346" s="165">
        <v>7200</v>
      </c>
      <c r="D346" s="166">
        <v>7200</v>
      </c>
      <c r="E346" s="168"/>
      <c r="F346" s="169"/>
      <c r="G346" s="168"/>
      <c r="H346" s="169"/>
      <c r="I346" s="168"/>
      <c r="J346" s="174">
        <f t="shared" si="52"/>
        <v>7200</v>
      </c>
      <c r="K346" s="170"/>
      <c r="L346" s="166"/>
      <c r="M346" s="167"/>
      <c r="N346" s="166"/>
      <c r="O346" s="167"/>
      <c r="P346" s="166"/>
      <c r="Q346" s="167"/>
      <c r="R346" s="167"/>
      <c r="S346" s="185">
        <f t="shared" si="54"/>
        <v>864</v>
      </c>
      <c r="T346" s="185"/>
      <c r="U346" s="166"/>
      <c r="V346" s="167"/>
      <c r="W346" s="175">
        <f t="shared" si="53"/>
        <v>864</v>
      </c>
      <c r="X346" s="172">
        <f t="shared" si="57"/>
        <v>6336</v>
      </c>
      <c r="Y346" s="185">
        <f t="shared" si="55"/>
        <v>980</v>
      </c>
    </row>
    <row r="347" spans="1:25" ht="27">
      <c r="A347" s="163">
        <v>32</v>
      </c>
      <c r="B347" s="164" t="s">
        <v>860</v>
      </c>
      <c r="C347" s="165">
        <v>7200</v>
      </c>
      <c r="D347" s="166">
        <v>7200</v>
      </c>
      <c r="E347" s="168"/>
      <c r="F347" s="169"/>
      <c r="G347" s="168"/>
      <c r="H347" s="169"/>
      <c r="I347" s="168"/>
      <c r="J347" s="174">
        <f t="shared" si="52"/>
        <v>7200</v>
      </c>
      <c r="K347" s="170"/>
      <c r="L347" s="166"/>
      <c r="M347" s="167"/>
      <c r="N347" s="166"/>
      <c r="O347" s="167"/>
      <c r="P347" s="166"/>
      <c r="Q347" s="167"/>
      <c r="R347" s="167"/>
      <c r="S347" s="185">
        <f>ROUND(J347*12/100,0)</f>
        <v>864</v>
      </c>
      <c r="T347" s="185"/>
      <c r="U347" s="166"/>
      <c r="V347" s="167"/>
      <c r="W347" s="175">
        <f t="shared" si="53"/>
        <v>864</v>
      </c>
      <c r="X347" s="172">
        <f t="shared" si="57"/>
        <v>6336</v>
      </c>
      <c r="Y347" s="185">
        <f t="shared" si="55"/>
        <v>980</v>
      </c>
    </row>
    <row r="348" spans="1:25" ht="15">
      <c r="A348" s="163">
        <v>33</v>
      </c>
      <c r="B348" s="164" t="s">
        <v>300</v>
      </c>
      <c r="C348" s="165">
        <v>7200</v>
      </c>
      <c r="D348" s="166">
        <v>7200</v>
      </c>
      <c r="E348" s="168"/>
      <c r="F348" s="169"/>
      <c r="G348" s="168"/>
      <c r="H348" s="169"/>
      <c r="I348" s="168"/>
      <c r="J348" s="174">
        <f t="shared" si="52"/>
        <v>7200</v>
      </c>
      <c r="K348" s="170"/>
      <c r="L348" s="166"/>
      <c r="M348" s="167"/>
      <c r="N348" s="166"/>
      <c r="O348" s="167"/>
      <c r="P348" s="166"/>
      <c r="Q348" s="167"/>
      <c r="R348" s="167"/>
      <c r="S348" s="185">
        <f aca="true" t="shared" si="58" ref="S348:S380">J348*12/100</f>
        <v>864</v>
      </c>
      <c r="T348" s="185"/>
      <c r="U348" s="166"/>
      <c r="V348" s="167">
        <v>448</v>
      </c>
      <c r="W348" s="175">
        <f t="shared" si="53"/>
        <v>1312</v>
      </c>
      <c r="X348" s="172">
        <f t="shared" si="57"/>
        <v>5888</v>
      </c>
      <c r="Y348" s="185">
        <f aca="true" t="shared" si="59" ref="Y348:Y380">ROUND(J348*13.61/100,0)</f>
        <v>980</v>
      </c>
    </row>
    <row r="349" spans="1:25" ht="15">
      <c r="A349" s="163">
        <v>34</v>
      </c>
      <c r="B349" s="164" t="s">
        <v>301</v>
      </c>
      <c r="C349" s="165">
        <v>7200</v>
      </c>
      <c r="D349" s="166">
        <f t="shared" si="56"/>
        <v>7200</v>
      </c>
      <c r="E349" s="168"/>
      <c r="F349" s="169"/>
      <c r="G349" s="168"/>
      <c r="H349" s="169"/>
      <c r="I349" s="168"/>
      <c r="J349" s="174">
        <f t="shared" si="52"/>
        <v>7200</v>
      </c>
      <c r="K349" s="170"/>
      <c r="L349" s="166"/>
      <c r="M349" s="167"/>
      <c r="N349" s="166"/>
      <c r="O349" s="167"/>
      <c r="P349" s="166"/>
      <c r="Q349" s="167"/>
      <c r="R349" s="167"/>
      <c r="S349" s="185">
        <f t="shared" si="58"/>
        <v>864</v>
      </c>
      <c r="T349" s="185"/>
      <c r="U349" s="166"/>
      <c r="V349" s="167"/>
      <c r="W349" s="175">
        <f t="shared" si="53"/>
        <v>864</v>
      </c>
      <c r="X349" s="172">
        <f t="shared" si="57"/>
        <v>6336</v>
      </c>
      <c r="Y349" s="185">
        <f t="shared" si="59"/>
        <v>980</v>
      </c>
    </row>
    <row r="350" spans="1:25" s="177" customFormat="1" ht="27">
      <c r="A350" s="163">
        <v>35</v>
      </c>
      <c r="B350" s="164" t="s">
        <v>1550</v>
      </c>
      <c r="C350" s="165">
        <v>7200</v>
      </c>
      <c r="D350" s="166">
        <f>ROUND(C350*30/31,0)</f>
        <v>6968</v>
      </c>
      <c r="E350" s="167"/>
      <c r="F350" s="166"/>
      <c r="G350" s="167"/>
      <c r="H350" s="166"/>
      <c r="I350" s="167"/>
      <c r="J350" s="174">
        <f t="shared" si="52"/>
        <v>6968</v>
      </c>
      <c r="K350" s="170"/>
      <c r="L350" s="166"/>
      <c r="M350" s="167"/>
      <c r="N350" s="166"/>
      <c r="O350" s="167"/>
      <c r="P350" s="166"/>
      <c r="Q350" s="167"/>
      <c r="R350" s="167"/>
      <c r="S350" s="185">
        <f>ROUND(J350*12/100,0)</f>
        <v>836</v>
      </c>
      <c r="T350" s="185"/>
      <c r="U350" s="166"/>
      <c r="V350" s="167"/>
      <c r="W350" s="175">
        <f t="shared" si="53"/>
        <v>836</v>
      </c>
      <c r="X350" s="172">
        <f t="shared" si="57"/>
        <v>6132</v>
      </c>
      <c r="Y350" s="185">
        <f t="shared" si="59"/>
        <v>948</v>
      </c>
    </row>
    <row r="351" spans="1:25" ht="18" customHeight="1">
      <c r="A351" s="163">
        <v>36</v>
      </c>
      <c r="B351" s="164" t="s">
        <v>255</v>
      </c>
      <c r="C351" s="165">
        <v>7200</v>
      </c>
      <c r="D351" s="166">
        <f t="shared" si="56"/>
        <v>7200</v>
      </c>
      <c r="E351" s="168"/>
      <c r="F351" s="169"/>
      <c r="G351" s="168"/>
      <c r="H351" s="169"/>
      <c r="I351" s="168"/>
      <c r="J351" s="174">
        <f t="shared" si="52"/>
        <v>7200</v>
      </c>
      <c r="K351" s="170"/>
      <c r="L351" s="166"/>
      <c r="M351" s="167"/>
      <c r="N351" s="166"/>
      <c r="O351" s="167"/>
      <c r="P351" s="166"/>
      <c r="Q351" s="167"/>
      <c r="R351" s="167"/>
      <c r="S351" s="185">
        <f t="shared" si="58"/>
        <v>864</v>
      </c>
      <c r="T351" s="185"/>
      <c r="U351" s="166"/>
      <c r="V351" s="167"/>
      <c r="W351" s="175">
        <f t="shared" si="53"/>
        <v>864</v>
      </c>
      <c r="X351" s="172">
        <f t="shared" si="57"/>
        <v>6336</v>
      </c>
      <c r="Y351" s="185">
        <f t="shared" si="59"/>
        <v>980</v>
      </c>
    </row>
    <row r="352" spans="1:25" ht="18" customHeight="1">
      <c r="A352" s="163">
        <v>37</v>
      </c>
      <c r="B352" s="164" t="s">
        <v>410</v>
      </c>
      <c r="C352" s="165">
        <v>7200</v>
      </c>
      <c r="D352" s="166">
        <f>C352</f>
        <v>7200</v>
      </c>
      <c r="E352" s="168"/>
      <c r="F352" s="169"/>
      <c r="G352" s="168"/>
      <c r="H352" s="169"/>
      <c r="I352" s="168"/>
      <c r="J352" s="174">
        <f t="shared" si="52"/>
        <v>7200</v>
      </c>
      <c r="K352" s="170"/>
      <c r="L352" s="166"/>
      <c r="M352" s="167"/>
      <c r="N352" s="166"/>
      <c r="O352" s="167"/>
      <c r="P352" s="166"/>
      <c r="Q352" s="167"/>
      <c r="R352" s="167"/>
      <c r="S352" s="185">
        <f t="shared" si="58"/>
        <v>864</v>
      </c>
      <c r="T352" s="185"/>
      <c r="U352" s="166"/>
      <c r="V352" s="167">
        <v>2721</v>
      </c>
      <c r="W352" s="175">
        <f t="shared" si="53"/>
        <v>3585</v>
      </c>
      <c r="X352" s="172">
        <f t="shared" si="57"/>
        <v>3615</v>
      </c>
      <c r="Y352" s="185">
        <f t="shared" si="59"/>
        <v>980</v>
      </c>
    </row>
    <row r="353" spans="1:25" ht="18" customHeight="1">
      <c r="A353" s="163">
        <v>38</v>
      </c>
      <c r="B353" s="164" t="s">
        <v>257</v>
      </c>
      <c r="C353" s="165">
        <v>7200</v>
      </c>
      <c r="D353" s="166">
        <f t="shared" si="56"/>
        <v>7200</v>
      </c>
      <c r="E353" s="168"/>
      <c r="F353" s="169"/>
      <c r="G353" s="168"/>
      <c r="H353" s="169"/>
      <c r="I353" s="168"/>
      <c r="J353" s="174">
        <f t="shared" si="52"/>
        <v>7200</v>
      </c>
      <c r="K353" s="170"/>
      <c r="L353" s="166"/>
      <c r="M353" s="167"/>
      <c r="N353" s="166"/>
      <c r="O353" s="167"/>
      <c r="P353" s="166"/>
      <c r="Q353" s="167"/>
      <c r="R353" s="167"/>
      <c r="S353" s="185">
        <f t="shared" si="58"/>
        <v>864</v>
      </c>
      <c r="T353" s="185"/>
      <c r="U353" s="166"/>
      <c r="V353" s="167"/>
      <c r="W353" s="175">
        <f t="shared" si="53"/>
        <v>864</v>
      </c>
      <c r="X353" s="172">
        <f t="shared" si="57"/>
        <v>6336</v>
      </c>
      <c r="Y353" s="185">
        <f t="shared" si="59"/>
        <v>980</v>
      </c>
    </row>
    <row r="354" spans="1:25" ht="18" customHeight="1">
      <c r="A354" s="163">
        <v>39</v>
      </c>
      <c r="B354" s="164" t="s">
        <v>811</v>
      </c>
      <c r="C354" s="165">
        <v>7200</v>
      </c>
      <c r="D354" s="166">
        <f t="shared" si="56"/>
        <v>7200</v>
      </c>
      <c r="E354" s="168"/>
      <c r="F354" s="169"/>
      <c r="G354" s="168"/>
      <c r="H354" s="169"/>
      <c r="I354" s="168"/>
      <c r="J354" s="174">
        <f t="shared" si="52"/>
        <v>7200</v>
      </c>
      <c r="K354" s="170"/>
      <c r="L354" s="166"/>
      <c r="M354" s="167"/>
      <c r="N354" s="166"/>
      <c r="O354" s="167"/>
      <c r="P354" s="166"/>
      <c r="Q354" s="167"/>
      <c r="R354" s="167"/>
      <c r="S354" s="185">
        <f>ROUND(J354*12/100,0)</f>
        <v>864</v>
      </c>
      <c r="T354" s="185"/>
      <c r="U354" s="166"/>
      <c r="V354" s="167"/>
      <c r="W354" s="175">
        <f t="shared" si="53"/>
        <v>864</v>
      </c>
      <c r="X354" s="172">
        <f t="shared" si="57"/>
        <v>6336</v>
      </c>
      <c r="Y354" s="185">
        <f t="shared" si="59"/>
        <v>980</v>
      </c>
    </row>
    <row r="355" spans="1:25" ht="18" customHeight="1">
      <c r="A355" s="163">
        <v>40</v>
      </c>
      <c r="B355" s="164" t="s">
        <v>1540</v>
      </c>
      <c r="C355" s="165">
        <v>7200</v>
      </c>
      <c r="D355" s="166">
        <f>ROUND(C355*27/31,0)</f>
        <v>6271</v>
      </c>
      <c r="E355" s="168"/>
      <c r="F355" s="169"/>
      <c r="G355" s="168"/>
      <c r="H355" s="169"/>
      <c r="I355" s="168"/>
      <c r="J355" s="174">
        <f t="shared" si="52"/>
        <v>6271</v>
      </c>
      <c r="K355" s="170"/>
      <c r="L355" s="166"/>
      <c r="M355" s="167"/>
      <c r="N355" s="166"/>
      <c r="O355" s="167"/>
      <c r="P355" s="166"/>
      <c r="Q355" s="167"/>
      <c r="R355" s="167"/>
      <c r="S355" s="185">
        <f>J371*12/100</f>
        <v>864</v>
      </c>
      <c r="T355" s="185"/>
      <c r="U355" s="166"/>
      <c r="V355" s="167"/>
      <c r="W355" s="175">
        <f t="shared" si="53"/>
        <v>864</v>
      </c>
      <c r="X355" s="172">
        <f t="shared" si="57"/>
        <v>5407</v>
      </c>
      <c r="Y355" s="185">
        <f>ROUND(J371*13.61/100,0)</f>
        <v>980</v>
      </c>
    </row>
    <row r="356" spans="1:25" ht="18" customHeight="1">
      <c r="A356" s="163">
        <v>41</v>
      </c>
      <c r="B356" s="164" t="s">
        <v>1595</v>
      </c>
      <c r="C356" s="165">
        <v>7200</v>
      </c>
      <c r="D356" s="166">
        <f>ROUND(C356*30/31,0)</f>
        <v>6968</v>
      </c>
      <c r="E356" s="168"/>
      <c r="F356" s="169"/>
      <c r="G356" s="168"/>
      <c r="H356" s="169"/>
      <c r="I356" s="168"/>
      <c r="J356" s="174">
        <f t="shared" si="52"/>
        <v>6968</v>
      </c>
      <c r="K356" s="170"/>
      <c r="L356" s="166"/>
      <c r="M356" s="167"/>
      <c r="N356" s="166"/>
      <c r="O356" s="167"/>
      <c r="P356" s="166"/>
      <c r="Q356" s="167"/>
      <c r="R356" s="167"/>
      <c r="S356" s="185">
        <f>ROUND(J356*12/100,0)</f>
        <v>836</v>
      </c>
      <c r="T356" s="185"/>
      <c r="U356" s="166"/>
      <c r="V356" s="167"/>
      <c r="W356" s="175">
        <f t="shared" si="53"/>
        <v>836</v>
      </c>
      <c r="X356" s="172">
        <f t="shared" si="57"/>
        <v>6132</v>
      </c>
      <c r="Y356" s="185">
        <f t="shared" si="59"/>
        <v>948</v>
      </c>
    </row>
    <row r="357" spans="1:25" ht="18" customHeight="1">
      <c r="A357" s="163">
        <v>42</v>
      </c>
      <c r="B357" s="164" t="s">
        <v>1074</v>
      </c>
      <c r="C357" s="165">
        <v>7200</v>
      </c>
      <c r="D357" s="166">
        <f t="shared" si="56"/>
        <v>7200</v>
      </c>
      <c r="E357" s="168"/>
      <c r="F357" s="169"/>
      <c r="G357" s="168"/>
      <c r="H357" s="169"/>
      <c r="I357" s="168"/>
      <c r="J357" s="174">
        <f t="shared" si="52"/>
        <v>7200</v>
      </c>
      <c r="K357" s="170"/>
      <c r="L357" s="166"/>
      <c r="M357" s="167"/>
      <c r="N357" s="166"/>
      <c r="O357" s="167"/>
      <c r="P357" s="166"/>
      <c r="Q357" s="167"/>
      <c r="R357" s="167"/>
      <c r="S357" s="185">
        <f>ROUND(J357*12/100,0)</f>
        <v>864</v>
      </c>
      <c r="T357" s="185"/>
      <c r="U357" s="166"/>
      <c r="V357" s="167"/>
      <c r="W357" s="175">
        <f t="shared" si="53"/>
        <v>864</v>
      </c>
      <c r="X357" s="172">
        <f t="shared" si="57"/>
        <v>6336</v>
      </c>
      <c r="Y357" s="185">
        <f t="shared" si="59"/>
        <v>980</v>
      </c>
    </row>
    <row r="358" spans="1:25" ht="18" customHeight="1">
      <c r="A358" s="163">
        <v>43</v>
      </c>
      <c r="B358" s="164" t="s">
        <v>302</v>
      </c>
      <c r="C358" s="165">
        <v>7200</v>
      </c>
      <c r="D358" s="166">
        <v>7200</v>
      </c>
      <c r="E358" s="168"/>
      <c r="F358" s="169"/>
      <c r="G358" s="168"/>
      <c r="H358" s="169"/>
      <c r="I358" s="168"/>
      <c r="J358" s="174">
        <f t="shared" si="52"/>
        <v>7200</v>
      </c>
      <c r="K358" s="170"/>
      <c r="L358" s="166"/>
      <c r="M358" s="167"/>
      <c r="N358" s="166"/>
      <c r="O358" s="167"/>
      <c r="P358" s="166"/>
      <c r="Q358" s="167"/>
      <c r="R358" s="167"/>
      <c r="S358" s="185">
        <f t="shared" si="58"/>
        <v>864</v>
      </c>
      <c r="T358" s="185"/>
      <c r="U358" s="166"/>
      <c r="V358" s="167"/>
      <c r="W358" s="175">
        <f t="shared" si="53"/>
        <v>864</v>
      </c>
      <c r="X358" s="172">
        <f t="shared" si="57"/>
        <v>6336</v>
      </c>
      <c r="Y358" s="185">
        <f t="shared" si="59"/>
        <v>980</v>
      </c>
    </row>
    <row r="359" spans="1:25" ht="18" customHeight="1">
      <c r="A359" s="163">
        <v>44</v>
      </c>
      <c r="B359" s="164" t="s">
        <v>303</v>
      </c>
      <c r="C359" s="165">
        <v>7200</v>
      </c>
      <c r="D359" s="166">
        <f t="shared" si="56"/>
        <v>7200</v>
      </c>
      <c r="E359" s="168"/>
      <c r="F359" s="169"/>
      <c r="G359" s="168"/>
      <c r="H359" s="169"/>
      <c r="I359" s="168"/>
      <c r="J359" s="174">
        <f t="shared" si="52"/>
        <v>7200</v>
      </c>
      <c r="K359" s="170"/>
      <c r="L359" s="166"/>
      <c r="M359" s="167"/>
      <c r="N359" s="166"/>
      <c r="O359" s="167"/>
      <c r="P359" s="166"/>
      <c r="Q359" s="167"/>
      <c r="R359" s="167"/>
      <c r="S359" s="185">
        <f t="shared" si="58"/>
        <v>864</v>
      </c>
      <c r="T359" s="185"/>
      <c r="U359" s="166"/>
      <c r="V359" s="167">
        <v>514</v>
      </c>
      <c r="W359" s="175">
        <f t="shared" si="53"/>
        <v>1378</v>
      </c>
      <c r="X359" s="172">
        <f t="shared" si="57"/>
        <v>5822</v>
      </c>
      <c r="Y359" s="185">
        <f t="shared" si="59"/>
        <v>980</v>
      </c>
    </row>
    <row r="360" spans="1:25" ht="18" customHeight="1">
      <c r="A360" s="163">
        <v>45</v>
      </c>
      <c r="B360" s="164" t="s">
        <v>304</v>
      </c>
      <c r="C360" s="165">
        <v>7200</v>
      </c>
      <c r="D360" s="166">
        <f t="shared" si="56"/>
        <v>7200</v>
      </c>
      <c r="E360" s="168"/>
      <c r="F360" s="169"/>
      <c r="G360" s="168"/>
      <c r="H360" s="169"/>
      <c r="I360" s="168"/>
      <c r="J360" s="174">
        <f t="shared" si="52"/>
        <v>7200</v>
      </c>
      <c r="K360" s="170"/>
      <c r="L360" s="166"/>
      <c r="M360" s="167"/>
      <c r="N360" s="166"/>
      <c r="O360" s="167"/>
      <c r="P360" s="166"/>
      <c r="Q360" s="167"/>
      <c r="R360" s="167"/>
      <c r="S360" s="185">
        <f t="shared" si="58"/>
        <v>864</v>
      </c>
      <c r="T360" s="185"/>
      <c r="U360" s="166"/>
      <c r="V360" s="167"/>
      <c r="W360" s="175">
        <f t="shared" si="53"/>
        <v>864</v>
      </c>
      <c r="X360" s="172">
        <f t="shared" si="57"/>
        <v>6336</v>
      </c>
      <c r="Y360" s="185">
        <f t="shared" si="59"/>
        <v>980</v>
      </c>
    </row>
    <row r="361" spans="1:25" s="177" customFormat="1" ht="18" customHeight="1">
      <c r="A361" s="163">
        <v>46</v>
      </c>
      <c r="B361" s="164" t="s">
        <v>1551</v>
      </c>
      <c r="C361" s="165">
        <v>7200</v>
      </c>
      <c r="D361" s="166">
        <f>ROUND(C361*13/31,0)</f>
        <v>3019</v>
      </c>
      <c r="E361" s="167"/>
      <c r="F361" s="166"/>
      <c r="G361" s="167"/>
      <c r="H361" s="166"/>
      <c r="I361" s="167"/>
      <c r="J361" s="174">
        <f t="shared" si="52"/>
        <v>3019</v>
      </c>
      <c r="K361" s="170"/>
      <c r="L361" s="166"/>
      <c r="M361" s="167"/>
      <c r="N361" s="166"/>
      <c r="O361" s="167"/>
      <c r="P361" s="166"/>
      <c r="Q361" s="167"/>
      <c r="R361" s="167"/>
      <c r="S361" s="185">
        <f>ROUND(J361*12/100,0)</f>
        <v>362</v>
      </c>
      <c r="T361" s="185"/>
      <c r="U361" s="166"/>
      <c r="V361" s="167"/>
      <c r="W361" s="175">
        <f t="shared" si="53"/>
        <v>362</v>
      </c>
      <c r="X361" s="172">
        <f t="shared" si="57"/>
        <v>2657</v>
      </c>
      <c r="Y361" s="185">
        <f t="shared" si="59"/>
        <v>411</v>
      </c>
    </row>
    <row r="362" spans="1:25" ht="18" customHeight="1">
      <c r="A362" s="163">
        <v>47</v>
      </c>
      <c r="B362" s="164" t="s">
        <v>260</v>
      </c>
      <c r="C362" s="165">
        <v>7200</v>
      </c>
      <c r="D362" s="166">
        <v>7200</v>
      </c>
      <c r="E362" s="168"/>
      <c r="F362" s="169"/>
      <c r="G362" s="168"/>
      <c r="H362" s="169"/>
      <c r="I362" s="168"/>
      <c r="J362" s="174">
        <f t="shared" si="52"/>
        <v>7200</v>
      </c>
      <c r="K362" s="170"/>
      <c r="L362" s="166"/>
      <c r="M362" s="167"/>
      <c r="N362" s="166"/>
      <c r="O362" s="167"/>
      <c r="P362" s="166"/>
      <c r="Q362" s="167"/>
      <c r="R362" s="167"/>
      <c r="S362" s="185">
        <f t="shared" si="58"/>
        <v>864</v>
      </c>
      <c r="T362" s="185"/>
      <c r="U362" s="166"/>
      <c r="V362" s="167"/>
      <c r="W362" s="175">
        <f t="shared" si="53"/>
        <v>864</v>
      </c>
      <c r="X362" s="172">
        <f t="shared" si="57"/>
        <v>6336</v>
      </c>
      <c r="Y362" s="185">
        <f t="shared" si="59"/>
        <v>980</v>
      </c>
    </row>
    <row r="363" spans="1:25" ht="18" customHeight="1">
      <c r="A363" s="163">
        <v>48</v>
      </c>
      <c r="B363" s="164" t="s">
        <v>305</v>
      </c>
      <c r="C363" s="165">
        <v>7200</v>
      </c>
      <c r="D363" s="166">
        <f t="shared" si="56"/>
        <v>7200</v>
      </c>
      <c r="E363" s="168"/>
      <c r="F363" s="169"/>
      <c r="G363" s="168"/>
      <c r="H363" s="169"/>
      <c r="I363" s="168"/>
      <c r="J363" s="174">
        <f t="shared" si="52"/>
        <v>7200</v>
      </c>
      <c r="K363" s="170"/>
      <c r="L363" s="166"/>
      <c r="M363" s="167"/>
      <c r="N363" s="166"/>
      <c r="O363" s="167"/>
      <c r="P363" s="166"/>
      <c r="Q363" s="167"/>
      <c r="R363" s="167"/>
      <c r="S363" s="185">
        <f t="shared" si="58"/>
        <v>864</v>
      </c>
      <c r="T363" s="185"/>
      <c r="U363" s="166"/>
      <c r="V363" s="167"/>
      <c r="W363" s="175">
        <f t="shared" si="53"/>
        <v>864</v>
      </c>
      <c r="X363" s="172">
        <f t="shared" si="57"/>
        <v>6336</v>
      </c>
      <c r="Y363" s="185">
        <f t="shared" si="59"/>
        <v>980</v>
      </c>
    </row>
    <row r="364" spans="1:25" s="177" customFormat="1" ht="18" customHeight="1">
      <c r="A364" s="163">
        <v>49</v>
      </c>
      <c r="B364" s="164" t="s">
        <v>861</v>
      </c>
      <c r="C364" s="165">
        <v>7200</v>
      </c>
      <c r="D364" s="166">
        <f t="shared" si="56"/>
        <v>7200</v>
      </c>
      <c r="E364" s="167"/>
      <c r="F364" s="166"/>
      <c r="G364" s="167"/>
      <c r="H364" s="166"/>
      <c r="I364" s="167"/>
      <c r="J364" s="174">
        <f t="shared" si="52"/>
        <v>7200</v>
      </c>
      <c r="K364" s="170"/>
      <c r="L364" s="166"/>
      <c r="M364" s="167"/>
      <c r="N364" s="166"/>
      <c r="O364" s="167"/>
      <c r="P364" s="166"/>
      <c r="Q364" s="167"/>
      <c r="R364" s="167"/>
      <c r="S364" s="185">
        <f>ROUND(J364*12/100,0)</f>
        <v>864</v>
      </c>
      <c r="T364" s="185"/>
      <c r="U364" s="166"/>
      <c r="V364" s="167"/>
      <c r="W364" s="175">
        <f t="shared" si="53"/>
        <v>864</v>
      </c>
      <c r="X364" s="172">
        <f t="shared" si="57"/>
        <v>6336</v>
      </c>
      <c r="Y364" s="185">
        <f t="shared" si="59"/>
        <v>980</v>
      </c>
    </row>
    <row r="365" spans="1:25" ht="18" customHeight="1">
      <c r="A365" s="163">
        <v>50</v>
      </c>
      <c r="B365" s="164" t="s">
        <v>227</v>
      </c>
      <c r="C365" s="165">
        <v>7200</v>
      </c>
      <c r="D365" s="166">
        <f t="shared" si="56"/>
        <v>7200</v>
      </c>
      <c r="E365" s="168"/>
      <c r="F365" s="169"/>
      <c r="G365" s="168"/>
      <c r="H365" s="169"/>
      <c r="I365" s="168"/>
      <c r="J365" s="174">
        <f t="shared" si="52"/>
        <v>7200</v>
      </c>
      <c r="K365" s="170"/>
      <c r="L365" s="166"/>
      <c r="M365" s="167"/>
      <c r="N365" s="166"/>
      <c r="O365" s="167"/>
      <c r="P365" s="166"/>
      <c r="Q365" s="167"/>
      <c r="R365" s="167"/>
      <c r="S365" s="185">
        <f t="shared" si="58"/>
        <v>864</v>
      </c>
      <c r="T365" s="185"/>
      <c r="U365" s="166"/>
      <c r="V365" s="167"/>
      <c r="W365" s="175">
        <f t="shared" si="53"/>
        <v>864</v>
      </c>
      <c r="X365" s="172">
        <f t="shared" si="57"/>
        <v>6336</v>
      </c>
      <c r="Y365" s="185">
        <f t="shared" si="59"/>
        <v>980</v>
      </c>
    </row>
    <row r="366" spans="1:25" ht="18" customHeight="1">
      <c r="A366" s="163">
        <v>51</v>
      </c>
      <c r="B366" s="164" t="s">
        <v>338</v>
      </c>
      <c r="C366" s="165">
        <v>7200</v>
      </c>
      <c r="D366" s="166">
        <v>7200</v>
      </c>
      <c r="E366" s="168"/>
      <c r="F366" s="169"/>
      <c r="G366" s="168"/>
      <c r="H366" s="169"/>
      <c r="I366" s="168"/>
      <c r="J366" s="174">
        <f t="shared" si="52"/>
        <v>7200</v>
      </c>
      <c r="K366" s="170"/>
      <c r="L366" s="166"/>
      <c r="M366" s="167"/>
      <c r="N366" s="166"/>
      <c r="O366" s="167"/>
      <c r="P366" s="166"/>
      <c r="Q366" s="167"/>
      <c r="R366" s="167"/>
      <c r="S366" s="185">
        <f t="shared" si="58"/>
        <v>864</v>
      </c>
      <c r="T366" s="185"/>
      <c r="U366" s="166"/>
      <c r="V366" s="167"/>
      <c r="W366" s="175">
        <f t="shared" si="53"/>
        <v>864</v>
      </c>
      <c r="X366" s="172">
        <f t="shared" si="57"/>
        <v>6336</v>
      </c>
      <c r="Y366" s="185">
        <f t="shared" si="59"/>
        <v>980</v>
      </c>
    </row>
    <row r="367" spans="1:25" s="177" customFormat="1" ht="18" customHeight="1">
      <c r="A367" s="163">
        <v>52</v>
      </c>
      <c r="B367" s="164" t="s">
        <v>1596</v>
      </c>
      <c r="C367" s="165">
        <v>7200</v>
      </c>
      <c r="D367" s="166">
        <f>ROUND(C367*30/31,0)</f>
        <v>6968</v>
      </c>
      <c r="E367" s="167"/>
      <c r="F367" s="166"/>
      <c r="G367" s="167"/>
      <c r="H367" s="166"/>
      <c r="I367" s="167"/>
      <c r="J367" s="174">
        <f t="shared" si="52"/>
        <v>6968</v>
      </c>
      <c r="K367" s="170"/>
      <c r="L367" s="166"/>
      <c r="M367" s="167"/>
      <c r="N367" s="166"/>
      <c r="O367" s="167"/>
      <c r="P367" s="166"/>
      <c r="Q367" s="167"/>
      <c r="R367" s="167"/>
      <c r="S367" s="185">
        <f>ROUND(J367*12/100,0)</f>
        <v>836</v>
      </c>
      <c r="T367" s="185"/>
      <c r="U367" s="166"/>
      <c r="V367" s="167">
        <v>617</v>
      </c>
      <c r="W367" s="175">
        <f t="shared" si="53"/>
        <v>1453</v>
      </c>
      <c r="X367" s="172">
        <f t="shared" si="57"/>
        <v>5515</v>
      </c>
      <c r="Y367" s="185">
        <f t="shared" si="59"/>
        <v>948</v>
      </c>
    </row>
    <row r="368" spans="1:25" s="177" customFormat="1" ht="18" customHeight="1">
      <c r="A368" s="163">
        <v>53</v>
      </c>
      <c r="B368" s="164" t="s">
        <v>1472</v>
      </c>
      <c r="C368" s="165">
        <v>7200</v>
      </c>
      <c r="D368" s="166">
        <v>7200</v>
      </c>
      <c r="E368" s="167"/>
      <c r="F368" s="166"/>
      <c r="G368" s="167"/>
      <c r="H368" s="166"/>
      <c r="I368" s="167"/>
      <c r="J368" s="174">
        <f aca="true" t="shared" si="60" ref="J368:J390">SUM(D368:I368)</f>
        <v>7200</v>
      </c>
      <c r="K368" s="170"/>
      <c r="L368" s="166">
        <f>ROUND(7200*21/31,0)</f>
        <v>4877</v>
      </c>
      <c r="M368" s="167"/>
      <c r="N368" s="166"/>
      <c r="O368" s="167"/>
      <c r="P368" s="166"/>
      <c r="Q368" s="167"/>
      <c r="R368" s="167"/>
      <c r="S368" s="185">
        <f t="shared" si="58"/>
        <v>864</v>
      </c>
      <c r="T368" s="185"/>
      <c r="U368" s="166"/>
      <c r="V368" s="167"/>
      <c r="W368" s="175">
        <f t="shared" si="53"/>
        <v>5741</v>
      </c>
      <c r="X368" s="172">
        <f t="shared" si="57"/>
        <v>1459</v>
      </c>
      <c r="Y368" s="185">
        <f t="shared" si="59"/>
        <v>980</v>
      </c>
    </row>
    <row r="369" spans="1:25" ht="15">
      <c r="A369" s="163">
        <v>54</v>
      </c>
      <c r="B369" s="164" t="s">
        <v>1450</v>
      </c>
      <c r="C369" s="165">
        <v>7200</v>
      </c>
      <c r="D369" s="166">
        <v>7200</v>
      </c>
      <c r="E369" s="168"/>
      <c r="F369" s="169"/>
      <c r="G369" s="168"/>
      <c r="H369" s="169"/>
      <c r="I369" s="168"/>
      <c r="J369" s="174">
        <f t="shared" si="60"/>
        <v>7200</v>
      </c>
      <c r="K369" s="170"/>
      <c r="L369" s="166"/>
      <c r="M369" s="167"/>
      <c r="N369" s="166"/>
      <c r="O369" s="167"/>
      <c r="P369" s="166"/>
      <c r="Q369" s="167"/>
      <c r="R369" s="167"/>
      <c r="S369" s="185">
        <f>ROUND(J369*12/100,0)</f>
        <v>864</v>
      </c>
      <c r="T369" s="185"/>
      <c r="U369" s="166"/>
      <c r="V369" s="167"/>
      <c r="W369" s="175">
        <f t="shared" si="53"/>
        <v>864</v>
      </c>
      <c r="X369" s="172">
        <f t="shared" si="57"/>
        <v>6336</v>
      </c>
      <c r="Y369" s="185">
        <f t="shared" si="59"/>
        <v>980</v>
      </c>
    </row>
    <row r="370" spans="1:25" ht="18" customHeight="1">
      <c r="A370" s="163">
        <v>55</v>
      </c>
      <c r="B370" s="164" t="s">
        <v>862</v>
      </c>
      <c r="C370" s="165">
        <v>7200</v>
      </c>
      <c r="D370" s="166">
        <v>7200</v>
      </c>
      <c r="E370" s="168"/>
      <c r="F370" s="169"/>
      <c r="G370" s="168"/>
      <c r="H370" s="169"/>
      <c r="I370" s="168"/>
      <c r="J370" s="174">
        <f t="shared" si="60"/>
        <v>7200</v>
      </c>
      <c r="K370" s="170"/>
      <c r="L370" s="166"/>
      <c r="M370" s="167"/>
      <c r="N370" s="166"/>
      <c r="O370" s="167"/>
      <c r="P370" s="166"/>
      <c r="Q370" s="167"/>
      <c r="R370" s="167"/>
      <c r="S370" s="185">
        <f>ROUND(J370*12/100,0)</f>
        <v>864</v>
      </c>
      <c r="T370" s="185"/>
      <c r="U370" s="166"/>
      <c r="V370" s="167">
        <v>2165</v>
      </c>
      <c r="W370" s="175">
        <f t="shared" si="53"/>
        <v>3029</v>
      </c>
      <c r="X370" s="172">
        <f t="shared" si="57"/>
        <v>4171</v>
      </c>
      <c r="Y370" s="185">
        <f t="shared" si="59"/>
        <v>980</v>
      </c>
    </row>
    <row r="371" spans="1:25" ht="18" customHeight="1">
      <c r="A371" s="163">
        <v>56</v>
      </c>
      <c r="B371" s="164" t="s">
        <v>1327</v>
      </c>
      <c r="C371" s="165">
        <v>7200</v>
      </c>
      <c r="D371" s="166">
        <v>7200</v>
      </c>
      <c r="E371" s="168"/>
      <c r="F371" s="169"/>
      <c r="G371" s="168"/>
      <c r="H371" s="169"/>
      <c r="I371" s="168"/>
      <c r="J371" s="174">
        <f t="shared" si="60"/>
        <v>7200</v>
      </c>
      <c r="K371" s="170"/>
      <c r="L371" s="166"/>
      <c r="M371" s="167"/>
      <c r="N371" s="166"/>
      <c r="O371" s="167"/>
      <c r="P371" s="166"/>
      <c r="Q371" s="167"/>
      <c r="R371" s="167"/>
      <c r="S371" s="185">
        <f t="shared" si="58"/>
        <v>864</v>
      </c>
      <c r="T371" s="185"/>
      <c r="U371" s="166"/>
      <c r="V371" s="167"/>
      <c r="W371" s="175">
        <f t="shared" si="53"/>
        <v>864</v>
      </c>
      <c r="X371" s="172">
        <f t="shared" si="57"/>
        <v>6336</v>
      </c>
      <c r="Y371" s="185">
        <f t="shared" si="59"/>
        <v>980</v>
      </c>
    </row>
    <row r="372" spans="1:25" ht="18" customHeight="1">
      <c r="A372" s="163">
        <v>57</v>
      </c>
      <c r="B372" s="164" t="s">
        <v>359</v>
      </c>
      <c r="C372" s="165">
        <v>7200</v>
      </c>
      <c r="D372" s="166">
        <f t="shared" si="56"/>
        <v>7200</v>
      </c>
      <c r="E372" s="168"/>
      <c r="F372" s="169"/>
      <c r="G372" s="168"/>
      <c r="H372" s="169"/>
      <c r="I372" s="168"/>
      <c r="J372" s="174">
        <f t="shared" si="60"/>
        <v>7200</v>
      </c>
      <c r="K372" s="170"/>
      <c r="L372" s="166"/>
      <c r="M372" s="167"/>
      <c r="N372" s="166"/>
      <c r="O372" s="167"/>
      <c r="P372" s="166"/>
      <c r="Q372" s="167"/>
      <c r="R372" s="167"/>
      <c r="S372" s="185">
        <f t="shared" si="58"/>
        <v>864</v>
      </c>
      <c r="T372" s="185"/>
      <c r="U372" s="166"/>
      <c r="V372" s="167"/>
      <c r="W372" s="175">
        <f t="shared" si="53"/>
        <v>864</v>
      </c>
      <c r="X372" s="172">
        <f t="shared" si="57"/>
        <v>6336</v>
      </c>
      <c r="Y372" s="185">
        <f t="shared" si="59"/>
        <v>980</v>
      </c>
    </row>
    <row r="373" spans="1:25" ht="18" customHeight="1">
      <c r="A373" s="163">
        <v>58</v>
      </c>
      <c r="B373" s="164" t="s">
        <v>253</v>
      </c>
      <c r="C373" s="165">
        <v>7200</v>
      </c>
      <c r="D373" s="166">
        <v>7200</v>
      </c>
      <c r="E373" s="168"/>
      <c r="F373" s="169"/>
      <c r="G373" s="168"/>
      <c r="H373" s="169"/>
      <c r="I373" s="168"/>
      <c r="J373" s="174">
        <f t="shared" si="60"/>
        <v>7200</v>
      </c>
      <c r="K373" s="170"/>
      <c r="L373" s="166">
        <v>720</v>
      </c>
      <c r="M373" s="167"/>
      <c r="N373" s="166">
        <v>80</v>
      </c>
      <c r="O373" s="167"/>
      <c r="P373" s="166">
        <v>20</v>
      </c>
      <c r="Q373" s="167"/>
      <c r="R373" s="167"/>
      <c r="S373" s="185">
        <f t="shared" si="58"/>
        <v>864</v>
      </c>
      <c r="T373" s="185"/>
      <c r="U373" s="166"/>
      <c r="V373" s="167"/>
      <c r="W373" s="175">
        <f t="shared" si="53"/>
        <v>1684</v>
      </c>
      <c r="X373" s="172">
        <f t="shared" si="57"/>
        <v>5516</v>
      </c>
      <c r="Y373" s="185">
        <f t="shared" si="59"/>
        <v>980</v>
      </c>
    </row>
    <row r="374" spans="1:25" ht="18" customHeight="1">
      <c r="A374" s="163">
        <v>59</v>
      </c>
      <c r="B374" s="164" t="s">
        <v>306</v>
      </c>
      <c r="C374" s="165">
        <v>7200</v>
      </c>
      <c r="D374" s="166">
        <f t="shared" si="56"/>
        <v>7200</v>
      </c>
      <c r="E374" s="168"/>
      <c r="F374" s="169"/>
      <c r="G374" s="168"/>
      <c r="H374" s="169"/>
      <c r="I374" s="168"/>
      <c r="J374" s="174">
        <f t="shared" si="60"/>
        <v>7200</v>
      </c>
      <c r="K374" s="170"/>
      <c r="L374" s="166"/>
      <c r="M374" s="167"/>
      <c r="N374" s="166"/>
      <c r="O374" s="167"/>
      <c r="P374" s="166"/>
      <c r="Q374" s="167"/>
      <c r="R374" s="167"/>
      <c r="S374" s="185">
        <f t="shared" si="58"/>
        <v>864</v>
      </c>
      <c r="T374" s="185"/>
      <c r="U374" s="166"/>
      <c r="V374" s="167">
        <v>2740</v>
      </c>
      <c r="W374" s="175">
        <f t="shared" si="53"/>
        <v>3604</v>
      </c>
      <c r="X374" s="172">
        <f t="shared" si="57"/>
        <v>3596</v>
      </c>
      <c r="Y374" s="185">
        <f t="shared" si="59"/>
        <v>980</v>
      </c>
    </row>
    <row r="375" spans="1:25" ht="18" customHeight="1">
      <c r="A375" s="163">
        <v>60</v>
      </c>
      <c r="B375" s="164" t="s">
        <v>715</v>
      </c>
      <c r="C375" s="165">
        <v>7200</v>
      </c>
      <c r="D375" s="166">
        <f t="shared" si="56"/>
        <v>7200</v>
      </c>
      <c r="E375" s="168"/>
      <c r="F375" s="169"/>
      <c r="G375" s="168"/>
      <c r="H375" s="169"/>
      <c r="I375" s="168"/>
      <c r="J375" s="174">
        <f t="shared" si="60"/>
        <v>7200</v>
      </c>
      <c r="K375" s="170"/>
      <c r="L375" s="166"/>
      <c r="M375" s="167"/>
      <c r="N375" s="166"/>
      <c r="O375" s="167"/>
      <c r="P375" s="166"/>
      <c r="Q375" s="167"/>
      <c r="R375" s="167"/>
      <c r="S375" s="185">
        <f t="shared" si="58"/>
        <v>864</v>
      </c>
      <c r="T375" s="185"/>
      <c r="U375" s="166"/>
      <c r="V375" s="167"/>
      <c r="W375" s="175">
        <f t="shared" si="53"/>
        <v>864</v>
      </c>
      <c r="X375" s="172">
        <f t="shared" si="57"/>
        <v>6336</v>
      </c>
      <c r="Y375" s="185">
        <f t="shared" si="59"/>
        <v>980</v>
      </c>
    </row>
    <row r="376" spans="1:25" ht="18" customHeight="1">
      <c r="A376" s="163">
        <v>61</v>
      </c>
      <c r="B376" s="164" t="s">
        <v>1326</v>
      </c>
      <c r="C376" s="165">
        <v>7200</v>
      </c>
      <c r="D376" s="166">
        <f t="shared" si="56"/>
        <v>7200</v>
      </c>
      <c r="E376" s="168"/>
      <c r="F376" s="169"/>
      <c r="G376" s="168"/>
      <c r="H376" s="169"/>
      <c r="I376" s="168"/>
      <c r="J376" s="174">
        <f t="shared" si="60"/>
        <v>7200</v>
      </c>
      <c r="K376" s="170"/>
      <c r="L376" s="166"/>
      <c r="M376" s="167"/>
      <c r="N376" s="166"/>
      <c r="O376" s="167"/>
      <c r="P376" s="166"/>
      <c r="Q376" s="167"/>
      <c r="R376" s="167"/>
      <c r="S376" s="185">
        <f t="shared" si="58"/>
        <v>864</v>
      </c>
      <c r="T376" s="185"/>
      <c r="U376" s="166"/>
      <c r="V376" s="167"/>
      <c r="W376" s="175">
        <f aca="true" t="shared" si="61" ref="W376:W390">SUM(K376:V376)</f>
        <v>864</v>
      </c>
      <c r="X376" s="172">
        <f t="shared" si="57"/>
        <v>6336</v>
      </c>
      <c r="Y376" s="185">
        <f t="shared" si="59"/>
        <v>980</v>
      </c>
    </row>
    <row r="377" spans="1:25" ht="18" customHeight="1">
      <c r="A377" s="163">
        <v>62</v>
      </c>
      <c r="B377" s="164" t="s">
        <v>308</v>
      </c>
      <c r="C377" s="165">
        <v>7200</v>
      </c>
      <c r="D377" s="166">
        <v>7200</v>
      </c>
      <c r="E377" s="168"/>
      <c r="F377" s="169"/>
      <c r="G377" s="168"/>
      <c r="H377" s="169"/>
      <c r="I377" s="168"/>
      <c r="J377" s="174">
        <f t="shared" si="60"/>
        <v>7200</v>
      </c>
      <c r="K377" s="170"/>
      <c r="L377" s="166"/>
      <c r="M377" s="167"/>
      <c r="N377" s="166"/>
      <c r="O377" s="167"/>
      <c r="P377" s="166"/>
      <c r="Q377" s="167"/>
      <c r="R377" s="167"/>
      <c r="S377" s="185">
        <f t="shared" si="58"/>
        <v>864</v>
      </c>
      <c r="T377" s="185"/>
      <c r="U377" s="166"/>
      <c r="V377" s="167"/>
      <c r="W377" s="175">
        <f t="shared" si="61"/>
        <v>864</v>
      </c>
      <c r="X377" s="172">
        <f t="shared" si="57"/>
        <v>6336</v>
      </c>
      <c r="Y377" s="185">
        <f t="shared" si="59"/>
        <v>980</v>
      </c>
    </row>
    <row r="378" spans="1:25" ht="18" customHeight="1">
      <c r="A378" s="163">
        <v>63</v>
      </c>
      <c r="B378" s="164" t="s">
        <v>309</v>
      </c>
      <c r="C378" s="165">
        <v>7200</v>
      </c>
      <c r="D378" s="166">
        <f t="shared" si="56"/>
        <v>7200</v>
      </c>
      <c r="E378" s="168"/>
      <c r="F378" s="169"/>
      <c r="G378" s="168"/>
      <c r="H378" s="169"/>
      <c r="I378" s="168"/>
      <c r="J378" s="174">
        <f t="shared" si="60"/>
        <v>7200</v>
      </c>
      <c r="K378" s="170"/>
      <c r="L378" s="166"/>
      <c r="M378" s="167"/>
      <c r="N378" s="166"/>
      <c r="O378" s="167"/>
      <c r="P378" s="166"/>
      <c r="Q378" s="167"/>
      <c r="R378" s="167"/>
      <c r="S378" s="185">
        <f t="shared" si="58"/>
        <v>864</v>
      </c>
      <c r="T378" s="185"/>
      <c r="U378" s="166"/>
      <c r="V378" s="167">
        <f>505+655</f>
        <v>1160</v>
      </c>
      <c r="W378" s="175">
        <f t="shared" si="61"/>
        <v>2024</v>
      </c>
      <c r="X378" s="172">
        <f t="shared" si="57"/>
        <v>5176</v>
      </c>
      <c r="Y378" s="185">
        <f t="shared" si="59"/>
        <v>980</v>
      </c>
    </row>
    <row r="379" spans="1:25" ht="18" customHeight="1">
      <c r="A379" s="163">
        <v>64</v>
      </c>
      <c r="B379" s="164" t="s">
        <v>310</v>
      </c>
      <c r="C379" s="165">
        <v>7200</v>
      </c>
      <c r="D379" s="166">
        <v>7200</v>
      </c>
      <c r="E379" s="168"/>
      <c r="F379" s="169"/>
      <c r="G379" s="168"/>
      <c r="H379" s="169"/>
      <c r="I379" s="168"/>
      <c r="J379" s="174">
        <f t="shared" si="60"/>
        <v>7200</v>
      </c>
      <c r="K379" s="170"/>
      <c r="L379" s="166"/>
      <c r="M379" s="167"/>
      <c r="N379" s="166"/>
      <c r="O379" s="167"/>
      <c r="P379" s="166"/>
      <c r="Q379" s="167"/>
      <c r="R379" s="167"/>
      <c r="S379" s="185">
        <f t="shared" si="58"/>
        <v>864</v>
      </c>
      <c r="T379" s="185"/>
      <c r="U379" s="166"/>
      <c r="V379" s="167"/>
      <c r="W379" s="175">
        <f t="shared" si="61"/>
        <v>864</v>
      </c>
      <c r="X379" s="172">
        <f t="shared" si="57"/>
        <v>6336</v>
      </c>
      <c r="Y379" s="185">
        <f t="shared" si="59"/>
        <v>980</v>
      </c>
    </row>
    <row r="380" spans="1:25" ht="18" customHeight="1">
      <c r="A380" s="163">
        <v>65</v>
      </c>
      <c r="B380" s="164" t="s">
        <v>311</v>
      </c>
      <c r="C380" s="165">
        <v>7200</v>
      </c>
      <c r="D380" s="166">
        <f>9600*75%</f>
        <v>7200</v>
      </c>
      <c r="E380" s="168"/>
      <c r="F380" s="169"/>
      <c r="G380" s="168"/>
      <c r="H380" s="169"/>
      <c r="I380" s="168"/>
      <c r="J380" s="174">
        <f t="shared" si="60"/>
        <v>7200</v>
      </c>
      <c r="K380" s="170"/>
      <c r="L380" s="166"/>
      <c r="M380" s="167"/>
      <c r="N380" s="166"/>
      <c r="O380" s="167"/>
      <c r="P380" s="166"/>
      <c r="Q380" s="167"/>
      <c r="R380" s="167"/>
      <c r="S380" s="185">
        <f t="shared" si="58"/>
        <v>864</v>
      </c>
      <c r="T380" s="185"/>
      <c r="U380" s="166"/>
      <c r="V380" s="167"/>
      <c r="W380" s="175">
        <f t="shared" si="61"/>
        <v>864</v>
      </c>
      <c r="X380" s="172">
        <f t="shared" si="57"/>
        <v>6336</v>
      </c>
      <c r="Y380" s="185">
        <f t="shared" si="59"/>
        <v>980</v>
      </c>
    </row>
    <row r="381" spans="1:25" ht="18" customHeight="1">
      <c r="A381" s="163">
        <v>66</v>
      </c>
      <c r="B381" s="164" t="s">
        <v>909</v>
      </c>
      <c r="C381" s="165">
        <v>7200</v>
      </c>
      <c r="D381" s="166">
        <f>9600*75%</f>
        <v>7200</v>
      </c>
      <c r="E381" s="168"/>
      <c r="F381" s="169"/>
      <c r="G381" s="168"/>
      <c r="H381" s="169"/>
      <c r="I381" s="168"/>
      <c r="J381" s="174">
        <f t="shared" si="60"/>
        <v>7200</v>
      </c>
      <c r="K381" s="170"/>
      <c r="L381" s="166"/>
      <c r="M381" s="167"/>
      <c r="N381" s="166"/>
      <c r="O381" s="167"/>
      <c r="P381" s="166"/>
      <c r="Q381" s="167"/>
      <c r="R381" s="167"/>
      <c r="S381" s="185">
        <f>ROUND(J381*12/100,0)</f>
        <v>864</v>
      </c>
      <c r="T381" s="185"/>
      <c r="U381" s="166"/>
      <c r="V381" s="167"/>
      <c r="W381" s="175">
        <f t="shared" si="61"/>
        <v>864</v>
      </c>
      <c r="X381" s="172">
        <f t="shared" si="57"/>
        <v>6336</v>
      </c>
      <c r="Y381" s="185">
        <f>ROUND(J381*13.61/100,0)</f>
        <v>980</v>
      </c>
    </row>
    <row r="382" spans="1:25" ht="18" customHeight="1">
      <c r="A382" s="163">
        <v>67</v>
      </c>
      <c r="B382" s="164" t="s">
        <v>1552</v>
      </c>
      <c r="C382" s="165">
        <v>7200</v>
      </c>
      <c r="D382" s="166">
        <f>ROUND(C382*29/31,0)</f>
        <v>6735</v>
      </c>
      <c r="E382" s="168"/>
      <c r="F382" s="169"/>
      <c r="G382" s="168"/>
      <c r="H382" s="169"/>
      <c r="I382" s="168"/>
      <c r="J382" s="174">
        <f t="shared" si="60"/>
        <v>6735</v>
      </c>
      <c r="K382" s="170"/>
      <c r="L382" s="166"/>
      <c r="M382" s="167"/>
      <c r="N382" s="166"/>
      <c r="O382" s="167"/>
      <c r="P382" s="166"/>
      <c r="Q382" s="167"/>
      <c r="R382" s="167"/>
      <c r="S382" s="185">
        <f>ROUND(J382*12/100,0)</f>
        <v>808</v>
      </c>
      <c r="T382" s="185"/>
      <c r="U382" s="166"/>
      <c r="V382" s="167"/>
      <c r="W382" s="175">
        <f t="shared" si="61"/>
        <v>808</v>
      </c>
      <c r="X382" s="172">
        <f t="shared" si="57"/>
        <v>5927</v>
      </c>
      <c r="Y382" s="185">
        <f>ROUND(J382*13.61/100,0)</f>
        <v>917</v>
      </c>
    </row>
    <row r="383" spans="1:25" s="177" customFormat="1" ht="18" customHeight="1">
      <c r="A383" s="163">
        <v>68</v>
      </c>
      <c r="B383" s="164" t="s">
        <v>346</v>
      </c>
      <c r="C383" s="165">
        <v>7200</v>
      </c>
      <c r="D383" s="166">
        <v>7200</v>
      </c>
      <c r="E383" s="167"/>
      <c r="F383" s="166"/>
      <c r="G383" s="167"/>
      <c r="H383" s="166"/>
      <c r="I383" s="167"/>
      <c r="J383" s="174">
        <f t="shared" si="60"/>
        <v>7200</v>
      </c>
      <c r="K383" s="170"/>
      <c r="L383" s="166"/>
      <c r="M383" s="167"/>
      <c r="N383" s="166"/>
      <c r="O383" s="167"/>
      <c r="P383" s="166"/>
      <c r="Q383" s="167"/>
      <c r="R383" s="167"/>
      <c r="S383" s="185">
        <f>J383*12/100</f>
        <v>864</v>
      </c>
      <c r="T383" s="185"/>
      <c r="U383" s="166"/>
      <c r="V383" s="167">
        <v>2267</v>
      </c>
      <c r="W383" s="175">
        <f t="shared" si="61"/>
        <v>3131</v>
      </c>
      <c r="X383" s="172">
        <f t="shared" si="57"/>
        <v>4069</v>
      </c>
      <c r="Y383" s="185">
        <f>ROUND(J383*13.61/100,0)</f>
        <v>980</v>
      </c>
    </row>
    <row r="384" spans="1:25" s="177" customFormat="1" ht="68.25" customHeight="1">
      <c r="A384" s="163">
        <v>69</v>
      </c>
      <c r="B384" s="422" t="s">
        <v>1361</v>
      </c>
      <c r="C384" s="165">
        <v>7200</v>
      </c>
      <c r="D384" s="166">
        <v>7200</v>
      </c>
      <c r="E384" s="167"/>
      <c r="F384" s="166"/>
      <c r="G384" s="167"/>
      <c r="H384" s="166"/>
      <c r="I384" s="167"/>
      <c r="J384" s="174">
        <f t="shared" si="60"/>
        <v>7200</v>
      </c>
      <c r="K384" s="170"/>
      <c r="L384" s="166"/>
      <c r="M384" s="167"/>
      <c r="N384" s="166"/>
      <c r="O384" s="167"/>
      <c r="P384" s="166"/>
      <c r="Q384" s="167"/>
      <c r="R384" s="167"/>
      <c r="S384" s="185">
        <f>ROUND(J384*12/100,0)</f>
        <v>864</v>
      </c>
      <c r="T384" s="185"/>
      <c r="U384" s="166"/>
      <c r="V384" s="167">
        <v>557</v>
      </c>
      <c r="W384" s="175">
        <f t="shared" si="61"/>
        <v>1421</v>
      </c>
      <c r="X384" s="172">
        <f aca="true" t="shared" si="62" ref="X384:X390">J384-W384</f>
        <v>5779</v>
      </c>
      <c r="Y384" s="185">
        <f>ROUND(J384*13.61/100,0)</f>
        <v>980</v>
      </c>
    </row>
    <row r="385" spans="1:25" s="177" customFormat="1" ht="54">
      <c r="A385" s="163">
        <v>70</v>
      </c>
      <c r="B385" s="164" t="s">
        <v>1227</v>
      </c>
      <c r="C385" s="165">
        <v>7200</v>
      </c>
      <c r="D385" s="166">
        <v>7200</v>
      </c>
      <c r="E385" s="167"/>
      <c r="F385" s="166"/>
      <c r="G385" s="167"/>
      <c r="H385" s="166"/>
      <c r="I385" s="167"/>
      <c r="J385" s="174">
        <f t="shared" si="60"/>
        <v>7200</v>
      </c>
      <c r="K385" s="170"/>
      <c r="L385" s="166"/>
      <c r="M385" s="167"/>
      <c r="N385" s="166"/>
      <c r="O385" s="167"/>
      <c r="P385" s="166"/>
      <c r="Q385" s="167"/>
      <c r="R385" s="167"/>
      <c r="S385" s="185">
        <f>ROUND(J385*12/100,0)</f>
        <v>864</v>
      </c>
      <c r="T385" s="170"/>
      <c r="U385" s="166"/>
      <c r="V385" s="167"/>
      <c r="W385" s="175">
        <f t="shared" si="61"/>
        <v>864</v>
      </c>
      <c r="X385" s="172">
        <f t="shared" si="62"/>
        <v>6336</v>
      </c>
      <c r="Y385" s="185">
        <f>ROUND(J385*13.61/100,0)</f>
        <v>980</v>
      </c>
    </row>
    <row r="386" spans="1:25" s="177" customFormat="1" ht="30">
      <c r="A386" s="163"/>
      <c r="B386" s="179" t="s">
        <v>1056</v>
      </c>
      <c r="C386" s="165"/>
      <c r="D386" s="166"/>
      <c r="E386" s="167"/>
      <c r="F386" s="166"/>
      <c r="G386" s="167"/>
      <c r="H386" s="166"/>
      <c r="I386" s="167"/>
      <c r="J386" s="174"/>
      <c r="K386" s="170"/>
      <c r="L386" s="166"/>
      <c r="M386" s="167"/>
      <c r="N386" s="166"/>
      <c r="O386" s="167"/>
      <c r="P386" s="166"/>
      <c r="Q386" s="167"/>
      <c r="R386" s="167"/>
      <c r="S386" s="185"/>
      <c r="T386" s="170"/>
      <c r="U386" s="166"/>
      <c r="V386" s="167"/>
      <c r="W386" s="175"/>
      <c r="X386" s="172"/>
      <c r="Y386" s="185"/>
    </row>
    <row r="387" spans="1:25" s="177" customFormat="1" ht="54">
      <c r="A387" s="163">
        <v>1</v>
      </c>
      <c r="B387" s="164" t="s">
        <v>1315</v>
      </c>
      <c r="C387" s="165">
        <v>7000</v>
      </c>
      <c r="D387" s="166">
        <v>7000</v>
      </c>
      <c r="E387" s="167"/>
      <c r="F387" s="166"/>
      <c r="G387" s="167"/>
      <c r="H387" s="166"/>
      <c r="I387" s="167"/>
      <c r="J387" s="174">
        <f t="shared" si="60"/>
        <v>7000</v>
      </c>
      <c r="K387" s="170"/>
      <c r="L387" s="166"/>
      <c r="M387" s="167"/>
      <c r="N387" s="166"/>
      <c r="O387" s="167"/>
      <c r="P387" s="166"/>
      <c r="Q387" s="167"/>
      <c r="R387" s="167"/>
      <c r="S387" s="185">
        <f>ROUND(J387*12/100,0)</f>
        <v>840</v>
      </c>
      <c r="T387" s="170"/>
      <c r="U387" s="166"/>
      <c r="V387" s="167"/>
      <c r="W387" s="175">
        <f t="shared" si="61"/>
        <v>840</v>
      </c>
      <c r="X387" s="172">
        <f t="shared" si="62"/>
        <v>6160</v>
      </c>
      <c r="Y387" s="185">
        <f>ROUND(J387*13.61/100,0)</f>
        <v>953</v>
      </c>
    </row>
    <row r="388" spans="1:25" s="177" customFormat="1" ht="54">
      <c r="A388" s="163">
        <v>2</v>
      </c>
      <c r="B388" s="164" t="s">
        <v>1316</v>
      </c>
      <c r="C388" s="165">
        <v>7000</v>
      </c>
      <c r="D388" s="166">
        <v>7000</v>
      </c>
      <c r="E388" s="167"/>
      <c r="F388" s="166"/>
      <c r="G388" s="167"/>
      <c r="H388" s="166"/>
      <c r="I388" s="167"/>
      <c r="J388" s="174">
        <f t="shared" si="60"/>
        <v>7000</v>
      </c>
      <c r="K388" s="170"/>
      <c r="L388" s="166"/>
      <c r="M388" s="167"/>
      <c r="N388" s="166"/>
      <c r="O388" s="167"/>
      <c r="P388" s="166"/>
      <c r="Q388" s="167"/>
      <c r="R388" s="167"/>
      <c r="S388" s="185">
        <f>ROUND(J388*12/100,0)</f>
        <v>840</v>
      </c>
      <c r="T388" s="170"/>
      <c r="U388" s="166"/>
      <c r="V388" s="167"/>
      <c r="W388" s="175">
        <f t="shared" si="61"/>
        <v>840</v>
      </c>
      <c r="X388" s="172">
        <f t="shared" si="62"/>
        <v>6160</v>
      </c>
      <c r="Y388" s="185">
        <f>ROUND(J388*13.61/100,0)</f>
        <v>953</v>
      </c>
    </row>
    <row r="389" spans="1:25" ht="30">
      <c r="A389" s="178" t="s">
        <v>355</v>
      </c>
      <c r="B389" s="183" t="s">
        <v>16</v>
      </c>
      <c r="C389" s="165"/>
      <c r="D389" s="166"/>
      <c r="E389" s="168"/>
      <c r="F389" s="169"/>
      <c r="G389" s="168"/>
      <c r="H389" s="169"/>
      <c r="I389" s="168"/>
      <c r="J389" s="174">
        <f>SUM(D389:I389)</f>
        <v>0</v>
      </c>
      <c r="K389" s="170"/>
      <c r="L389" s="166"/>
      <c r="M389" s="167"/>
      <c r="N389" s="166"/>
      <c r="O389" s="167"/>
      <c r="P389" s="166"/>
      <c r="Q389" s="167"/>
      <c r="R389" s="167"/>
      <c r="S389" s="170"/>
      <c r="T389" s="170"/>
      <c r="U389" s="166"/>
      <c r="V389" s="167"/>
      <c r="W389" s="175"/>
      <c r="X389" s="172"/>
      <c r="Y389" s="185"/>
    </row>
    <row r="390" spans="1:25" s="177" customFormat="1" ht="70.5" customHeight="1" thickBot="1">
      <c r="A390" s="325">
        <v>1</v>
      </c>
      <c r="B390" s="323" t="s">
        <v>1156</v>
      </c>
      <c r="C390" s="423">
        <v>7200</v>
      </c>
      <c r="D390" s="270">
        <v>7200</v>
      </c>
      <c r="E390" s="325"/>
      <c r="F390" s="270"/>
      <c r="G390" s="325"/>
      <c r="H390" s="270"/>
      <c r="I390" s="325"/>
      <c r="J390" s="174">
        <f t="shared" si="60"/>
        <v>7200</v>
      </c>
      <c r="K390" s="324"/>
      <c r="L390" s="270"/>
      <c r="M390" s="325"/>
      <c r="N390" s="270"/>
      <c r="O390" s="325"/>
      <c r="P390" s="270"/>
      <c r="Q390" s="424"/>
      <c r="R390" s="424"/>
      <c r="S390" s="425">
        <f>ROUND(J390*12/100,0)</f>
        <v>864</v>
      </c>
      <c r="T390" s="425"/>
      <c r="U390" s="270"/>
      <c r="V390" s="325"/>
      <c r="W390" s="175">
        <f t="shared" si="61"/>
        <v>864</v>
      </c>
      <c r="X390" s="172">
        <f t="shared" si="62"/>
        <v>6336</v>
      </c>
      <c r="Y390" s="426">
        <f>ROUND(J390*13.61/100,0)</f>
        <v>980</v>
      </c>
    </row>
    <row r="391" spans="1:25" ht="15.75" customHeight="1" thickBot="1">
      <c r="A391" s="475" t="s">
        <v>163</v>
      </c>
      <c r="B391" s="476"/>
      <c r="C391" s="477"/>
      <c r="D391" s="279">
        <f>SUM(D7:D390)</f>
        <v>4265705</v>
      </c>
      <c r="E391" s="279">
        <f aca="true" t="shared" si="63" ref="E391:Y391">SUM(E7:E390)</f>
        <v>590617</v>
      </c>
      <c r="F391" s="279">
        <f t="shared" si="63"/>
        <v>181721</v>
      </c>
      <c r="G391" s="279">
        <f t="shared" si="63"/>
        <v>8772</v>
      </c>
      <c r="H391" s="279">
        <f t="shared" si="63"/>
        <v>23069</v>
      </c>
      <c r="I391" s="279">
        <f t="shared" si="63"/>
        <v>3290</v>
      </c>
      <c r="J391" s="279">
        <f t="shared" si="63"/>
        <v>5073174</v>
      </c>
      <c r="K391" s="279">
        <f t="shared" si="63"/>
        <v>24200</v>
      </c>
      <c r="L391" s="279">
        <f t="shared" si="63"/>
        <v>171956</v>
      </c>
      <c r="M391" s="279">
        <f t="shared" si="63"/>
        <v>5000</v>
      </c>
      <c r="N391" s="279">
        <f t="shared" si="63"/>
        <v>5734</v>
      </c>
      <c r="O391" s="279">
        <f t="shared" si="63"/>
        <v>0</v>
      </c>
      <c r="P391" s="279">
        <f t="shared" si="63"/>
        <v>1525</v>
      </c>
      <c r="Q391" s="279">
        <f t="shared" si="63"/>
        <v>9000</v>
      </c>
      <c r="R391" s="279">
        <f t="shared" si="63"/>
        <v>200</v>
      </c>
      <c r="S391" s="279">
        <f t="shared" si="63"/>
        <v>201897</v>
      </c>
      <c r="T391" s="279">
        <f t="shared" si="63"/>
        <v>120</v>
      </c>
      <c r="U391" s="279">
        <f t="shared" si="63"/>
        <v>510</v>
      </c>
      <c r="V391" s="279">
        <f t="shared" si="63"/>
        <v>287760</v>
      </c>
      <c r="W391" s="279">
        <f t="shared" si="63"/>
        <v>707902</v>
      </c>
      <c r="X391" s="279">
        <f t="shared" si="63"/>
        <v>4365272</v>
      </c>
      <c r="Y391" s="326">
        <f t="shared" si="63"/>
        <v>229052</v>
      </c>
    </row>
    <row r="392" spans="1:28" ht="15.75">
      <c r="A392" s="189" t="s">
        <v>1602</v>
      </c>
      <c r="B392" s="309"/>
      <c r="Z392" s="252"/>
      <c r="AB392" s="252"/>
    </row>
    <row r="393" spans="1:28" ht="16.5" thickBot="1">
      <c r="A393" s="189"/>
      <c r="W393" s="254"/>
      <c r="Z393" s="252"/>
      <c r="AA393" s="252"/>
      <c r="AB393" s="252"/>
    </row>
    <row r="394" spans="1:24" ht="15.75" thickBot="1">
      <c r="A394" s="197" t="s">
        <v>182</v>
      </c>
      <c r="B394" s="198" t="s">
        <v>183</v>
      </c>
      <c r="C394" s="199"/>
      <c r="D394" s="200" t="s">
        <v>191</v>
      </c>
      <c r="E394" s="200" t="s">
        <v>100</v>
      </c>
      <c r="F394" s="200" t="s">
        <v>193</v>
      </c>
      <c r="G394" s="201"/>
      <c r="J394" s="202"/>
      <c r="K394" s="203"/>
      <c r="X394" s="307"/>
    </row>
    <row r="395" spans="1:27" ht="15">
      <c r="A395" s="204">
        <v>1</v>
      </c>
      <c r="B395" s="205" t="s">
        <v>198</v>
      </c>
      <c r="C395" s="206"/>
      <c r="D395" s="277">
        <f>+X391</f>
        <v>4365272</v>
      </c>
      <c r="E395" s="156">
        <f>+'[1]Abstract'!E16</f>
        <v>0</v>
      </c>
      <c r="F395" s="156"/>
      <c r="I395" s="201"/>
      <c r="J395" s="207"/>
      <c r="K395" s="203"/>
      <c r="N395" s="203"/>
      <c r="S395" s="257"/>
      <c r="W395" s="254"/>
      <c r="AA395" s="252"/>
    </row>
    <row r="396" spans="1:24" ht="15">
      <c r="A396" s="163">
        <v>2</v>
      </c>
      <c r="B396" s="208" t="s">
        <v>195</v>
      </c>
      <c r="C396" s="209"/>
      <c r="D396" s="210">
        <f>+K391</f>
        <v>24200</v>
      </c>
      <c r="E396" s="168">
        <f>+'[1]Abstract'!E17</f>
        <v>0</v>
      </c>
      <c r="F396" s="156"/>
      <c r="N396" s="203"/>
      <c r="Q396" s="203"/>
      <c r="X396" s="307"/>
    </row>
    <row r="397" spans="1:23" ht="15">
      <c r="A397" s="204">
        <v>3</v>
      </c>
      <c r="B397" s="208" t="s">
        <v>112</v>
      </c>
      <c r="C397" s="209"/>
      <c r="D397" s="210">
        <f>+L391</f>
        <v>171956</v>
      </c>
      <c r="E397" s="168">
        <f>+'[1]Abstract'!E23</f>
        <v>0</v>
      </c>
      <c r="F397" s="156"/>
      <c r="W397" s="254"/>
    </row>
    <row r="398" spans="1:6" ht="15">
      <c r="A398" s="163">
        <v>4</v>
      </c>
      <c r="B398" s="208" t="s">
        <v>117</v>
      </c>
      <c r="C398" s="209"/>
      <c r="D398" s="210">
        <f>+M391</f>
        <v>5000</v>
      </c>
      <c r="E398" s="211">
        <v>0</v>
      </c>
      <c r="F398" s="156"/>
    </row>
    <row r="399" spans="1:6" ht="15">
      <c r="A399" s="204">
        <v>5</v>
      </c>
      <c r="B399" s="208" t="s">
        <v>76</v>
      </c>
      <c r="C399" s="209"/>
      <c r="D399" s="210">
        <f>+N391</f>
        <v>5734</v>
      </c>
      <c r="E399" s="211">
        <v>0</v>
      </c>
      <c r="F399" s="156"/>
    </row>
    <row r="400" spans="1:22" ht="15">
      <c r="A400" s="163">
        <v>6</v>
      </c>
      <c r="B400" s="208" t="s">
        <v>73</v>
      </c>
      <c r="C400" s="209"/>
      <c r="D400" s="210">
        <f>+O391</f>
        <v>0</v>
      </c>
      <c r="E400" s="211">
        <v>0</v>
      </c>
      <c r="F400" s="156"/>
      <c r="L400" s="203"/>
      <c r="V400" s="193" t="s">
        <v>174</v>
      </c>
    </row>
    <row r="401" spans="1:25" ht="15">
      <c r="A401" s="204">
        <v>7</v>
      </c>
      <c r="B401" s="208" t="s">
        <v>79</v>
      </c>
      <c r="C401" s="209"/>
      <c r="D401" s="210">
        <f>+P391</f>
        <v>1525</v>
      </c>
      <c r="E401" s="211">
        <v>0</v>
      </c>
      <c r="F401" s="156"/>
      <c r="V401" s="193" t="s">
        <v>175</v>
      </c>
      <c r="Y401" s="252"/>
    </row>
    <row r="402" spans="1:22" ht="15">
      <c r="A402" s="163">
        <v>8</v>
      </c>
      <c r="B402" s="208" t="s">
        <v>41</v>
      </c>
      <c r="C402" s="209"/>
      <c r="D402" s="210">
        <f>+Q391</f>
        <v>9000</v>
      </c>
      <c r="E402" s="211">
        <v>0</v>
      </c>
      <c r="F402" s="156"/>
      <c r="V402" s="193" t="s">
        <v>176</v>
      </c>
    </row>
    <row r="403" spans="1:6" ht="15">
      <c r="A403" s="204">
        <v>9</v>
      </c>
      <c r="B403" s="208" t="s">
        <v>244</v>
      </c>
      <c r="C403" s="209"/>
      <c r="D403" s="210">
        <f>+R391</f>
        <v>200</v>
      </c>
      <c r="E403" s="211">
        <v>0</v>
      </c>
      <c r="F403" s="156"/>
    </row>
    <row r="404" spans="1:6" ht="15">
      <c r="A404" s="163">
        <v>10</v>
      </c>
      <c r="B404" s="473" t="s">
        <v>106</v>
      </c>
      <c r="C404" s="474"/>
      <c r="D404" s="210">
        <f>+S391</f>
        <v>201897</v>
      </c>
      <c r="E404" s="168">
        <f>+'[1]Abstract'!E24</f>
        <v>0</v>
      </c>
      <c r="F404" s="156"/>
    </row>
    <row r="405" spans="1:6" ht="15">
      <c r="A405" s="204">
        <v>11</v>
      </c>
      <c r="B405" s="473" t="s">
        <v>166</v>
      </c>
      <c r="C405" s="474"/>
      <c r="D405" s="210">
        <f>+T391</f>
        <v>120</v>
      </c>
      <c r="E405" s="168">
        <f>+'[1]Abstract'!E18</f>
        <v>0</v>
      </c>
      <c r="F405" s="156"/>
    </row>
    <row r="406" spans="1:24" ht="15">
      <c r="A406" s="163">
        <v>12</v>
      </c>
      <c r="B406" s="473" t="s">
        <v>165</v>
      </c>
      <c r="C406" s="474"/>
      <c r="D406" s="210">
        <f>+U391</f>
        <v>510</v>
      </c>
      <c r="E406" s="168">
        <f>+'[1]Abstract'!E18</f>
        <v>0</v>
      </c>
      <c r="F406" s="156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</row>
    <row r="407" spans="1:24" ht="15.75" thickBot="1">
      <c r="A407" s="204">
        <v>13</v>
      </c>
      <c r="B407" s="478" t="s">
        <v>118</v>
      </c>
      <c r="C407" s="479"/>
      <c r="D407" s="210">
        <f>+V391</f>
        <v>287760</v>
      </c>
      <c r="E407" s="168">
        <f>+'[1]Abstract'!E26</f>
        <v>0</v>
      </c>
      <c r="F407" s="156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</row>
    <row r="408" spans="1:24" ht="15.75" thickBot="1">
      <c r="A408" s="197"/>
      <c r="B408" s="471" t="s">
        <v>223</v>
      </c>
      <c r="C408" s="472"/>
      <c r="D408" s="212">
        <f>SUM(D395:D407)</f>
        <v>5073174</v>
      </c>
      <c r="E408" s="200"/>
      <c r="F408" s="200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</row>
    <row r="409" spans="2:24" ht="15">
      <c r="B409" s="190" t="s">
        <v>104</v>
      </c>
      <c r="D409" s="213">
        <f>+Y391</f>
        <v>229052</v>
      </c>
      <c r="K409" s="207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</row>
    <row r="479" spans="1:24" ht="15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92"/>
      <c r="M479" s="193"/>
      <c r="N479" s="193"/>
      <c r="O479" s="193"/>
      <c r="P479" s="193"/>
      <c r="Q479" s="193"/>
      <c r="R479" s="193"/>
      <c r="S479" s="258"/>
      <c r="T479" s="194"/>
      <c r="W479" s="214"/>
      <c r="X479" s="142"/>
    </row>
    <row r="480" spans="1:24" ht="15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92">
        <v>3832</v>
      </c>
      <c r="M480" s="193"/>
      <c r="N480" s="193"/>
      <c r="O480" s="193"/>
      <c r="P480" s="193"/>
      <c r="Q480" s="193"/>
      <c r="R480" s="193"/>
      <c r="S480" s="258"/>
      <c r="T480" s="207" t="e">
        <f>(L480+#REF!)</f>
        <v>#REF!</v>
      </c>
      <c r="U480" s="215" t="e">
        <f>(T480*13.61%)</f>
        <v>#REF!</v>
      </c>
      <c r="V480" s="215" t="e">
        <f>(T480*4.75%)</f>
        <v>#REF!</v>
      </c>
      <c r="W480" s="216"/>
      <c r="X480" s="142"/>
    </row>
    <row r="481" spans="1:24" ht="15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92">
        <v>3832</v>
      </c>
      <c r="M481" s="193"/>
      <c r="N481" s="193"/>
      <c r="O481" s="193"/>
      <c r="P481" s="193"/>
      <c r="Q481" s="193"/>
      <c r="R481" s="193"/>
      <c r="S481" s="258"/>
      <c r="T481" s="207" t="e">
        <f>(L481+#REF!)</f>
        <v>#REF!</v>
      </c>
      <c r="U481" s="215" t="e">
        <f>(T481*12%)</f>
        <v>#REF!</v>
      </c>
      <c r="V481" s="215" t="e">
        <f>(T481*1.75%)</f>
        <v>#REF!</v>
      </c>
      <c r="W481" s="214"/>
      <c r="X481" s="142"/>
    </row>
    <row r="482" spans="1:24" ht="15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92"/>
      <c r="M482" s="193"/>
      <c r="N482" s="193"/>
      <c r="O482" s="193"/>
      <c r="P482" s="193"/>
      <c r="Q482" s="193"/>
      <c r="R482" s="193"/>
      <c r="S482" s="258"/>
      <c r="T482" s="207"/>
      <c r="U482" s="207"/>
      <c r="V482" s="207"/>
      <c r="W482" s="214"/>
      <c r="X482" s="142"/>
    </row>
    <row r="483" spans="1:24" ht="15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92"/>
      <c r="M483" s="193"/>
      <c r="N483" s="193"/>
      <c r="O483" s="193"/>
      <c r="P483" s="193"/>
      <c r="Q483" s="193"/>
      <c r="R483" s="193"/>
      <c r="S483" s="258"/>
      <c r="T483" s="215">
        <v>563.1818</v>
      </c>
      <c r="U483" s="215">
        <v>196.555</v>
      </c>
      <c r="V483" s="215">
        <f>(T483+U483)</f>
        <v>759.7367999999999</v>
      </c>
      <c r="W483" s="214"/>
      <c r="X483" s="142"/>
    </row>
    <row r="484" spans="1:24" ht="15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92"/>
      <c r="M484" s="193"/>
      <c r="N484" s="193"/>
      <c r="O484" s="193"/>
      <c r="P484" s="193"/>
      <c r="Q484" s="193"/>
      <c r="R484" s="193"/>
      <c r="S484" s="258"/>
      <c r="T484" s="215">
        <v>496.56</v>
      </c>
      <c r="U484" s="215">
        <v>72.415</v>
      </c>
      <c r="V484" s="215">
        <f>(T484+U484)</f>
        <v>568.975</v>
      </c>
      <c r="W484" s="214"/>
      <c r="X484" s="142"/>
    </row>
    <row r="485" spans="1:24" ht="15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92"/>
      <c r="M485" s="193"/>
      <c r="N485" s="193"/>
      <c r="O485" s="193"/>
      <c r="P485" s="193"/>
      <c r="Q485" s="193"/>
      <c r="R485" s="193"/>
      <c r="S485" s="258"/>
      <c r="T485" s="194"/>
      <c r="V485" s="215">
        <f>(V483+V484)</f>
        <v>1328.7118</v>
      </c>
      <c r="W485" s="214"/>
      <c r="X485" s="142"/>
    </row>
    <row r="486" spans="1:24" ht="15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92"/>
      <c r="M486" s="193"/>
      <c r="N486" s="193"/>
      <c r="O486" s="193"/>
      <c r="P486" s="193"/>
      <c r="Q486" s="193"/>
      <c r="R486" s="193"/>
      <c r="S486" s="258"/>
      <c r="T486" s="194"/>
      <c r="W486" s="214"/>
      <c r="X486" s="142"/>
    </row>
    <row r="487" spans="1:24" ht="15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92"/>
      <c r="M487" s="193"/>
      <c r="N487" s="193"/>
      <c r="O487" s="193"/>
      <c r="P487" s="193"/>
      <c r="Q487" s="193"/>
      <c r="R487" s="193"/>
      <c r="S487" s="258"/>
      <c r="T487" s="194"/>
      <c r="W487" s="214"/>
      <c r="X487" s="142"/>
    </row>
    <row r="488" spans="1:24" ht="15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92"/>
      <c r="M488" s="193"/>
      <c r="N488" s="193"/>
      <c r="O488" s="193"/>
      <c r="P488" s="193"/>
      <c r="Q488" s="193"/>
      <c r="R488" s="193"/>
      <c r="S488" s="258"/>
      <c r="T488" s="194"/>
      <c r="W488" s="214"/>
      <c r="X488" s="142"/>
    </row>
    <row r="489" spans="1:24" ht="15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92">
        <v>3798</v>
      </c>
      <c r="M489" s="193"/>
      <c r="N489" s="193"/>
      <c r="O489" s="193"/>
      <c r="P489" s="193"/>
      <c r="Q489" s="193"/>
      <c r="R489" s="193"/>
      <c r="S489" s="258"/>
      <c r="T489" s="207" t="e">
        <f>(L489+#REF!)</f>
        <v>#REF!</v>
      </c>
      <c r="U489" s="215" t="e">
        <f>(T489*13.61%)</f>
        <v>#REF!</v>
      </c>
      <c r="V489" s="215" t="e">
        <f>(T489*4.75%)</f>
        <v>#REF!</v>
      </c>
      <c r="W489" s="214"/>
      <c r="X489" s="142"/>
    </row>
    <row r="490" spans="1:24" ht="15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92">
        <v>3798</v>
      </c>
      <c r="M490" s="193"/>
      <c r="N490" s="193"/>
      <c r="O490" s="193"/>
      <c r="P490" s="193"/>
      <c r="Q490" s="193"/>
      <c r="R490" s="193"/>
      <c r="S490" s="258"/>
      <c r="T490" s="207" t="e">
        <f>(L490+#REF!)</f>
        <v>#REF!</v>
      </c>
      <c r="U490" s="215" t="e">
        <f>(T490*12%)</f>
        <v>#REF!</v>
      </c>
      <c r="V490" s="215" t="e">
        <f>(T490*1.75%)</f>
        <v>#REF!</v>
      </c>
      <c r="W490" s="214"/>
      <c r="X490" s="142"/>
    </row>
    <row r="491" spans="1:24" ht="15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92"/>
      <c r="M491" s="193"/>
      <c r="N491" s="193"/>
      <c r="O491" s="193"/>
      <c r="P491" s="193"/>
      <c r="Q491" s="193"/>
      <c r="R491" s="193"/>
      <c r="S491" s="258"/>
      <c r="T491" s="207"/>
      <c r="U491" s="207" t="e">
        <f>SUM(U489:U490)</f>
        <v>#REF!</v>
      </c>
      <c r="V491" s="207" t="e">
        <f>SUM(V489:V490)</f>
        <v>#REF!</v>
      </c>
      <c r="W491" s="214"/>
      <c r="X491" s="142"/>
    </row>
    <row r="492" spans="1:24" ht="15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92"/>
      <c r="M492" s="193"/>
      <c r="N492" s="193"/>
      <c r="O492" s="193"/>
      <c r="P492" s="193"/>
      <c r="Q492" s="193"/>
      <c r="R492" s="193"/>
      <c r="S492" s="258"/>
      <c r="T492" s="215">
        <v>563.1818</v>
      </c>
      <c r="U492" s="215">
        <v>196.555</v>
      </c>
      <c r="V492" s="215">
        <f>(T492+U492)</f>
        <v>759.7367999999999</v>
      </c>
      <c r="W492" s="214"/>
      <c r="X492" s="142"/>
    </row>
    <row r="493" spans="1:24" ht="1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92"/>
      <c r="M493" s="193"/>
      <c r="N493" s="193"/>
      <c r="O493" s="193"/>
      <c r="P493" s="193"/>
      <c r="Q493" s="193"/>
      <c r="R493" s="193"/>
      <c r="S493" s="258"/>
      <c r="T493" s="215">
        <v>496.56</v>
      </c>
      <c r="U493" s="215">
        <v>72.415</v>
      </c>
      <c r="V493" s="215">
        <f>(T493+U493)</f>
        <v>568.975</v>
      </c>
      <c r="W493" s="214"/>
      <c r="X493" s="142"/>
    </row>
    <row r="494" spans="1:24" ht="1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92"/>
      <c r="M494" s="193"/>
      <c r="N494" s="193"/>
      <c r="O494" s="193"/>
      <c r="P494" s="193"/>
      <c r="Q494" s="193"/>
      <c r="R494" s="193"/>
      <c r="S494" s="258"/>
      <c r="T494" s="194"/>
      <c r="V494" s="215">
        <f>(V492+V493)</f>
        <v>1328.7118</v>
      </c>
      <c r="W494" s="214"/>
      <c r="X494" s="142"/>
    </row>
    <row r="495" spans="1:24" ht="1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92"/>
      <c r="M495" s="193"/>
      <c r="N495" s="193"/>
      <c r="O495" s="193"/>
      <c r="P495" s="193"/>
      <c r="Q495" s="193"/>
      <c r="R495" s="193"/>
      <c r="S495" s="258"/>
      <c r="T495" s="194"/>
      <c r="W495" s="214"/>
      <c r="X495" s="142"/>
    </row>
    <row r="496" spans="1:24" ht="1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92"/>
      <c r="M496" s="193"/>
      <c r="N496" s="193"/>
      <c r="O496" s="193"/>
      <c r="P496" s="193"/>
      <c r="Q496" s="193"/>
      <c r="R496" s="193"/>
      <c r="S496" s="258"/>
      <c r="T496" s="194"/>
      <c r="W496" s="214"/>
      <c r="X496" s="142"/>
    </row>
    <row r="497" spans="1:24" ht="15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92"/>
      <c r="M497" s="193"/>
      <c r="N497" s="193"/>
      <c r="O497" s="193"/>
      <c r="P497" s="193"/>
      <c r="Q497" s="193"/>
      <c r="R497" s="193"/>
      <c r="S497" s="258"/>
      <c r="T497" s="194"/>
      <c r="W497" s="214"/>
      <c r="X497" s="142"/>
    </row>
    <row r="498" spans="1:24" ht="15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92"/>
      <c r="M498" s="193"/>
      <c r="N498" s="193"/>
      <c r="O498" s="193"/>
      <c r="P498" s="193"/>
      <c r="Q498" s="193"/>
      <c r="R498" s="193"/>
      <c r="S498" s="258"/>
      <c r="T498" s="194"/>
      <c r="W498" s="214"/>
      <c r="X498" s="142"/>
    </row>
  </sheetData>
  <sheetProtection/>
  <mergeCells count="10">
    <mergeCell ref="B408:C408"/>
    <mergeCell ref="B404:C404"/>
    <mergeCell ref="B405:C405"/>
    <mergeCell ref="A391:C391"/>
    <mergeCell ref="A1:X1"/>
    <mergeCell ref="A2:X2"/>
    <mergeCell ref="A3:X3"/>
    <mergeCell ref="A4:X4"/>
    <mergeCell ref="B406:C406"/>
    <mergeCell ref="B407:C407"/>
  </mergeCells>
  <printOptions horizontalCentered="1"/>
  <pageMargins left="0.14" right="0.14" top="0.32" bottom="0.94" header="0.15" footer="1.01"/>
  <pageSetup horizontalDpi="600" verticalDpi="600" orientation="landscape" paperSize="5" scale="66" r:id="rId3"/>
  <headerFooter alignWithMargins="0">
    <oddFooter>&amp;RPage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="125" zoomScaleNormal="125" zoomScalePageLayoutView="0" workbookViewId="0" topLeftCell="A13">
      <selection activeCell="B17" sqref="B17"/>
    </sheetView>
  </sheetViews>
  <sheetFormatPr defaultColWidth="9.140625" defaultRowHeight="12.75"/>
  <cols>
    <col min="1" max="1" width="7.140625" style="217" customWidth="1"/>
    <col min="2" max="2" width="54.421875" style="217" customWidth="1"/>
    <col min="3" max="3" width="11.421875" style="217" bestFit="1" customWidth="1"/>
    <col min="4" max="4" width="11.57421875" style="217" bestFit="1" customWidth="1"/>
    <col min="5" max="5" width="20.28125" style="217" customWidth="1"/>
    <col min="6" max="6" width="6.57421875" style="217" bestFit="1" customWidth="1"/>
    <col min="7" max="7" width="6.57421875" style="217" customWidth="1"/>
    <col min="8" max="8" width="9.421875" style="217" bestFit="1" customWidth="1"/>
    <col min="9" max="9" width="7.8515625" style="217" bestFit="1" customWidth="1"/>
    <col min="10" max="10" width="9.421875" style="217" bestFit="1" customWidth="1"/>
    <col min="11" max="11" width="10.421875" style="217" bestFit="1" customWidth="1"/>
    <col min="12" max="12" width="10.28125" style="264" bestFit="1" customWidth="1"/>
    <col min="13" max="14" width="9.140625" style="217" customWidth="1"/>
    <col min="15" max="15" width="9.421875" style="217" bestFit="1" customWidth="1"/>
    <col min="16" max="16384" width="9.140625" style="217" customWidth="1"/>
  </cols>
  <sheetData>
    <row r="1" spans="1:12" ht="12">
      <c r="A1" s="481" t="s">
        <v>121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2" ht="12">
      <c r="A2" s="481" t="s">
        <v>122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2" s="218" customFormat="1" ht="13.5" customHeight="1" thickBot="1">
      <c r="A3" s="480" t="s">
        <v>1421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s="218" customFormat="1" ht="36.75" thickBot="1">
      <c r="A4" s="261" t="s">
        <v>108</v>
      </c>
      <c r="B4" s="262" t="s">
        <v>322</v>
      </c>
      <c r="C4" s="262" t="s">
        <v>323</v>
      </c>
      <c r="D4" s="263" t="s">
        <v>324</v>
      </c>
      <c r="E4" s="263" t="s">
        <v>325</v>
      </c>
      <c r="F4" s="262" t="s">
        <v>116</v>
      </c>
      <c r="G4" s="262" t="s">
        <v>117</v>
      </c>
      <c r="H4" s="262" t="s">
        <v>112</v>
      </c>
      <c r="I4" s="263" t="s">
        <v>36</v>
      </c>
      <c r="J4" s="263" t="s">
        <v>326</v>
      </c>
      <c r="K4" s="262" t="s">
        <v>327</v>
      </c>
      <c r="L4" s="265" t="s">
        <v>37</v>
      </c>
    </row>
    <row r="5" spans="1:12" s="433" customFormat="1" ht="22.5">
      <c r="A5" s="427">
        <v>1</v>
      </c>
      <c r="B5" s="428" t="s">
        <v>1599</v>
      </c>
      <c r="C5" s="429" t="s">
        <v>328</v>
      </c>
      <c r="D5" s="430">
        <v>40000</v>
      </c>
      <c r="E5" s="430">
        <f>ROUND(D5*30/31,0)</f>
        <v>38710</v>
      </c>
      <c r="F5" s="430">
        <v>200</v>
      </c>
      <c r="G5" s="430">
        <v>1000</v>
      </c>
      <c r="H5" s="430"/>
      <c r="I5" s="431">
        <v>0</v>
      </c>
      <c r="J5" s="430">
        <f aca="true" t="shared" si="0" ref="J5:J18">SUM(F5:I5)</f>
        <v>1200</v>
      </c>
      <c r="K5" s="430">
        <f aca="true" t="shared" si="1" ref="K5:K18">E5-J5</f>
        <v>37510</v>
      </c>
      <c r="L5" s="432"/>
    </row>
    <row r="6" spans="1:12" s="433" customFormat="1" ht="22.5">
      <c r="A6" s="427">
        <v>2</v>
      </c>
      <c r="B6" s="428" t="s">
        <v>1558</v>
      </c>
      <c r="C6" s="429" t="s">
        <v>328</v>
      </c>
      <c r="D6" s="430">
        <v>40000</v>
      </c>
      <c r="E6" s="430">
        <f>ROUND(D6*29/31,0)</f>
        <v>37419</v>
      </c>
      <c r="F6" s="430">
        <v>200</v>
      </c>
      <c r="G6" s="430">
        <v>1000</v>
      </c>
      <c r="H6" s="430"/>
      <c r="I6" s="431">
        <v>0</v>
      </c>
      <c r="J6" s="430">
        <f t="shared" si="0"/>
        <v>1200</v>
      </c>
      <c r="K6" s="430">
        <f t="shared" si="1"/>
        <v>36219</v>
      </c>
      <c r="L6" s="432"/>
    </row>
    <row r="7" spans="1:12" s="439" customFormat="1" ht="33.75">
      <c r="A7" s="434">
        <v>2</v>
      </c>
      <c r="B7" s="435" t="s">
        <v>1563</v>
      </c>
      <c r="C7" s="436" t="s">
        <v>329</v>
      </c>
      <c r="D7" s="437">
        <v>15000</v>
      </c>
      <c r="E7" s="437">
        <f>ROUND(D7*30/31,0)</f>
        <v>14516</v>
      </c>
      <c r="F7" s="437">
        <v>0</v>
      </c>
      <c r="G7" s="437"/>
      <c r="H7" s="437"/>
      <c r="I7" s="437">
        <f>ROUND(E7*12/100,0)</f>
        <v>1742</v>
      </c>
      <c r="J7" s="430">
        <f t="shared" si="0"/>
        <v>1742</v>
      </c>
      <c r="K7" s="437">
        <f t="shared" si="1"/>
        <v>12774</v>
      </c>
      <c r="L7" s="438">
        <f aca="true" t="shared" si="2" ref="L7:L18">ROUND(E7*13.61/100,0)</f>
        <v>1976</v>
      </c>
    </row>
    <row r="8" spans="1:12" s="439" customFormat="1" ht="39" customHeight="1">
      <c r="A8" s="434">
        <v>3</v>
      </c>
      <c r="B8" s="435" t="s">
        <v>1383</v>
      </c>
      <c r="C8" s="436" t="s">
        <v>330</v>
      </c>
      <c r="D8" s="437">
        <v>13000</v>
      </c>
      <c r="E8" s="437">
        <f aca="true" t="shared" si="3" ref="E8:E18">D8</f>
        <v>13000</v>
      </c>
      <c r="F8" s="437">
        <v>0</v>
      </c>
      <c r="G8" s="437"/>
      <c r="H8" s="437"/>
      <c r="I8" s="437">
        <f aca="true" t="shared" si="4" ref="I8:I18">ROUND(E8*12/100,0)</f>
        <v>1560</v>
      </c>
      <c r="J8" s="430">
        <f t="shared" si="0"/>
        <v>1560</v>
      </c>
      <c r="K8" s="437">
        <f t="shared" si="1"/>
        <v>11440</v>
      </c>
      <c r="L8" s="438">
        <f t="shared" si="2"/>
        <v>1769</v>
      </c>
    </row>
    <row r="9" spans="1:12" s="439" customFormat="1" ht="39" customHeight="1">
      <c r="A9" s="434">
        <v>4</v>
      </c>
      <c r="B9" s="435" t="s">
        <v>1394</v>
      </c>
      <c r="C9" s="436" t="s">
        <v>330</v>
      </c>
      <c r="D9" s="437">
        <v>13000</v>
      </c>
      <c r="E9" s="437">
        <f t="shared" si="3"/>
        <v>13000</v>
      </c>
      <c r="F9" s="437">
        <v>0</v>
      </c>
      <c r="G9" s="437"/>
      <c r="H9" s="437">
        <v>1300</v>
      </c>
      <c r="I9" s="437">
        <f t="shared" si="4"/>
        <v>1560</v>
      </c>
      <c r="J9" s="430">
        <f t="shared" si="0"/>
        <v>2860</v>
      </c>
      <c r="K9" s="437">
        <f t="shared" si="1"/>
        <v>10140</v>
      </c>
      <c r="L9" s="438">
        <f t="shared" si="2"/>
        <v>1769</v>
      </c>
    </row>
    <row r="10" spans="1:12" s="439" customFormat="1" ht="22.5">
      <c r="A10" s="434">
        <v>5</v>
      </c>
      <c r="B10" s="435" t="s">
        <v>1384</v>
      </c>
      <c r="C10" s="436" t="s">
        <v>330</v>
      </c>
      <c r="D10" s="437">
        <v>13000</v>
      </c>
      <c r="E10" s="437">
        <f t="shared" si="3"/>
        <v>13000</v>
      </c>
      <c r="F10" s="437">
        <v>0</v>
      </c>
      <c r="G10" s="437"/>
      <c r="H10" s="437"/>
      <c r="I10" s="437">
        <f t="shared" si="4"/>
        <v>1560</v>
      </c>
      <c r="J10" s="430">
        <f t="shared" si="0"/>
        <v>1560</v>
      </c>
      <c r="K10" s="437">
        <f t="shared" si="1"/>
        <v>11440</v>
      </c>
      <c r="L10" s="438">
        <f t="shared" si="2"/>
        <v>1769</v>
      </c>
    </row>
    <row r="11" spans="1:12" s="439" customFormat="1" ht="41.25" customHeight="1">
      <c r="A11" s="434">
        <v>6</v>
      </c>
      <c r="B11" s="440" t="s">
        <v>1483</v>
      </c>
      <c r="C11" s="436" t="s">
        <v>330</v>
      </c>
      <c r="D11" s="437">
        <v>13000</v>
      </c>
      <c r="E11" s="437">
        <f t="shared" si="3"/>
        <v>13000</v>
      </c>
      <c r="F11" s="437">
        <v>0</v>
      </c>
      <c r="G11" s="437"/>
      <c r="H11" s="437"/>
      <c r="I11" s="437">
        <f t="shared" si="4"/>
        <v>1560</v>
      </c>
      <c r="J11" s="430">
        <f t="shared" si="0"/>
        <v>1560</v>
      </c>
      <c r="K11" s="437">
        <f t="shared" si="1"/>
        <v>11440</v>
      </c>
      <c r="L11" s="438">
        <f t="shared" si="2"/>
        <v>1769</v>
      </c>
    </row>
    <row r="12" spans="1:12" s="433" customFormat="1" ht="42.75" customHeight="1">
      <c r="A12" s="441">
        <v>7</v>
      </c>
      <c r="B12" s="435" t="s">
        <v>1385</v>
      </c>
      <c r="C12" s="436" t="s">
        <v>330</v>
      </c>
      <c r="D12" s="437">
        <v>13000</v>
      </c>
      <c r="E12" s="437">
        <f t="shared" si="3"/>
        <v>13000</v>
      </c>
      <c r="F12" s="437">
        <v>0</v>
      </c>
      <c r="G12" s="437"/>
      <c r="H12" s="437"/>
      <c r="I12" s="437">
        <f t="shared" si="4"/>
        <v>1560</v>
      </c>
      <c r="J12" s="430">
        <f t="shared" si="0"/>
        <v>1560</v>
      </c>
      <c r="K12" s="437">
        <f t="shared" si="1"/>
        <v>11440</v>
      </c>
      <c r="L12" s="438">
        <f t="shared" si="2"/>
        <v>1769</v>
      </c>
    </row>
    <row r="13" spans="1:12" s="439" customFormat="1" ht="32.25" customHeight="1">
      <c r="A13" s="434">
        <v>8</v>
      </c>
      <c r="B13" s="435" t="s">
        <v>1386</v>
      </c>
      <c r="C13" s="436" t="s">
        <v>330</v>
      </c>
      <c r="D13" s="437">
        <v>13000</v>
      </c>
      <c r="E13" s="437">
        <f t="shared" si="3"/>
        <v>13000</v>
      </c>
      <c r="F13" s="437">
        <v>0</v>
      </c>
      <c r="G13" s="437"/>
      <c r="H13" s="437"/>
      <c r="I13" s="437">
        <f t="shared" si="4"/>
        <v>1560</v>
      </c>
      <c r="J13" s="430">
        <f t="shared" si="0"/>
        <v>1560</v>
      </c>
      <c r="K13" s="437">
        <f t="shared" si="1"/>
        <v>11440</v>
      </c>
      <c r="L13" s="438">
        <f t="shared" si="2"/>
        <v>1769</v>
      </c>
    </row>
    <row r="14" spans="1:12" s="439" customFormat="1" ht="22.5">
      <c r="A14" s="434">
        <v>9</v>
      </c>
      <c r="B14" s="435" t="s">
        <v>1387</v>
      </c>
      <c r="C14" s="436" t="s">
        <v>330</v>
      </c>
      <c r="D14" s="437">
        <v>13000</v>
      </c>
      <c r="E14" s="437">
        <f t="shared" si="3"/>
        <v>13000</v>
      </c>
      <c r="F14" s="437">
        <v>0</v>
      </c>
      <c r="G14" s="437"/>
      <c r="H14" s="437"/>
      <c r="I14" s="437">
        <f t="shared" si="4"/>
        <v>1560</v>
      </c>
      <c r="J14" s="430">
        <f t="shared" si="0"/>
        <v>1560</v>
      </c>
      <c r="K14" s="437">
        <f t="shared" si="1"/>
        <v>11440</v>
      </c>
      <c r="L14" s="438">
        <f t="shared" si="2"/>
        <v>1769</v>
      </c>
    </row>
    <row r="15" spans="1:12" s="439" customFormat="1" ht="22.5">
      <c r="A15" s="434">
        <v>10</v>
      </c>
      <c r="B15" s="435" t="s">
        <v>1388</v>
      </c>
      <c r="C15" s="436" t="s">
        <v>331</v>
      </c>
      <c r="D15" s="437">
        <v>9000</v>
      </c>
      <c r="E15" s="437">
        <f t="shared" si="3"/>
        <v>9000</v>
      </c>
      <c r="F15" s="437">
        <v>0</v>
      </c>
      <c r="G15" s="437"/>
      <c r="H15" s="437"/>
      <c r="I15" s="437">
        <f t="shared" si="4"/>
        <v>1080</v>
      </c>
      <c r="J15" s="430">
        <f t="shared" si="0"/>
        <v>1080</v>
      </c>
      <c r="K15" s="437">
        <f t="shared" si="1"/>
        <v>7920</v>
      </c>
      <c r="L15" s="438">
        <f t="shared" si="2"/>
        <v>1225</v>
      </c>
    </row>
    <row r="16" spans="1:12" s="439" customFormat="1" ht="22.5">
      <c r="A16" s="434">
        <v>11</v>
      </c>
      <c r="B16" s="435" t="s">
        <v>1389</v>
      </c>
      <c r="C16" s="436" t="s">
        <v>331</v>
      </c>
      <c r="D16" s="437">
        <v>9000</v>
      </c>
      <c r="E16" s="437">
        <f t="shared" si="3"/>
        <v>9000</v>
      </c>
      <c r="F16" s="437">
        <v>0</v>
      </c>
      <c r="G16" s="437"/>
      <c r="H16" s="437"/>
      <c r="I16" s="437">
        <f t="shared" si="4"/>
        <v>1080</v>
      </c>
      <c r="J16" s="430">
        <f t="shared" si="0"/>
        <v>1080</v>
      </c>
      <c r="K16" s="437">
        <f t="shared" si="1"/>
        <v>7920</v>
      </c>
      <c r="L16" s="438">
        <f t="shared" si="2"/>
        <v>1225</v>
      </c>
    </row>
    <row r="17" spans="1:12" s="439" customFormat="1" ht="36.75" customHeight="1">
      <c r="A17" s="434">
        <v>12</v>
      </c>
      <c r="B17" s="435" t="s">
        <v>1600</v>
      </c>
      <c r="C17" s="436" t="s">
        <v>332</v>
      </c>
      <c r="D17" s="437">
        <v>8000</v>
      </c>
      <c r="E17" s="437">
        <f>ROUND(D17*30/31,0)</f>
        <v>7742</v>
      </c>
      <c r="F17" s="437">
        <v>0</v>
      </c>
      <c r="G17" s="437"/>
      <c r="H17" s="437"/>
      <c r="I17" s="437">
        <f t="shared" si="4"/>
        <v>929</v>
      </c>
      <c r="J17" s="430">
        <f t="shared" si="0"/>
        <v>929</v>
      </c>
      <c r="K17" s="437">
        <f t="shared" si="1"/>
        <v>6813</v>
      </c>
      <c r="L17" s="438">
        <f t="shared" si="2"/>
        <v>1054</v>
      </c>
    </row>
    <row r="18" spans="1:12" s="439" customFormat="1" ht="36.75" customHeight="1" thickBot="1">
      <c r="A18" s="442">
        <v>13</v>
      </c>
      <c r="B18" s="443" t="s">
        <v>1390</v>
      </c>
      <c r="C18" s="444" t="s">
        <v>332</v>
      </c>
      <c r="D18" s="437">
        <v>8000</v>
      </c>
      <c r="E18" s="437">
        <f t="shared" si="3"/>
        <v>8000</v>
      </c>
      <c r="F18" s="445">
        <v>0</v>
      </c>
      <c r="G18" s="445"/>
      <c r="H18" s="445"/>
      <c r="I18" s="437">
        <f t="shared" si="4"/>
        <v>960</v>
      </c>
      <c r="J18" s="430">
        <f t="shared" si="0"/>
        <v>960</v>
      </c>
      <c r="K18" s="445">
        <f t="shared" si="1"/>
        <v>7040</v>
      </c>
      <c r="L18" s="438">
        <f t="shared" si="2"/>
        <v>1089</v>
      </c>
    </row>
    <row r="19" spans="1:12" s="218" customFormat="1" ht="12.75" thickBot="1">
      <c r="A19" s="482" t="s">
        <v>163</v>
      </c>
      <c r="B19" s="483"/>
      <c r="C19" s="483"/>
      <c r="D19" s="484"/>
      <c r="E19" s="319">
        <f>SUM(E5:E18)</f>
        <v>215387</v>
      </c>
      <c r="F19" s="319">
        <f aca="true" t="shared" si="5" ref="F19:L19">SUM(F5:F18)</f>
        <v>400</v>
      </c>
      <c r="G19" s="319">
        <f t="shared" si="5"/>
        <v>2000</v>
      </c>
      <c r="H19" s="319">
        <f t="shared" si="5"/>
        <v>1300</v>
      </c>
      <c r="I19" s="319">
        <f t="shared" si="5"/>
        <v>16711</v>
      </c>
      <c r="J19" s="319">
        <f t="shared" si="5"/>
        <v>20411</v>
      </c>
      <c r="K19" s="319">
        <f t="shared" si="5"/>
        <v>194976</v>
      </c>
      <c r="L19" s="319">
        <f t="shared" si="5"/>
        <v>18952</v>
      </c>
    </row>
    <row r="20" ht="16.5" customHeight="1" thickBot="1">
      <c r="A20" s="219" t="s">
        <v>1603</v>
      </c>
    </row>
    <row r="21" spans="1:8" ht="16.5" customHeight="1" thickBot="1">
      <c r="A21" s="219"/>
      <c r="B21" s="102" t="s">
        <v>171</v>
      </c>
      <c r="C21" s="103" t="s">
        <v>170</v>
      </c>
      <c r="D21" s="104" t="s">
        <v>197</v>
      </c>
      <c r="E21" s="105" t="s">
        <v>193</v>
      </c>
      <c r="H21" s="221"/>
    </row>
    <row r="22" spans="1:15" ht="15" customHeight="1">
      <c r="A22" s="219"/>
      <c r="B22" s="110" t="s">
        <v>172</v>
      </c>
      <c r="C22" s="268">
        <f>K19</f>
        <v>194976</v>
      </c>
      <c r="D22" s="112"/>
      <c r="E22" s="269"/>
      <c r="J22" s="221"/>
      <c r="L22" s="314"/>
      <c r="O22" s="221"/>
    </row>
    <row r="23" spans="1:12" ht="13.5">
      <c r="A23" s="220"/>
      <c r="B23" s="115" t="s">
        <v>116</v>
      </c>
      <c r="C23" s="116">
        <f>F19</f>
        <v>400</v>
      </c>
      <c r="D23" s="117">
        <f>+'Abstract-Non Teach'!E26</f>
      </c>
      <c r="E23" s="118"/>
      <c r="F23" s="481"/>
      <c r="G23" s="481"/>
      <c r="H23" s="481"/>
      <c r="I23" s="481"/>
      <c r="J23" s="481"/>
      <c r="K23" s="481"/>
      <c r="L23" s="314"/>
    </row>
    <row r="24" spans="1:12" ht="13.5">
      <c r="A24" s="220"/>
      <c r="B24" s="115" t="s">
        <v>117</v>
      </c>
      <c r="C24" s="116">
        <f>G19</f>
        <v>2000</v>
      </c>
      <c r="D24" s="117"/>
      <c r="E24" s="118"/>
      <c r="F24" s="388"/>
      <c r="G24" s="388"/>
      <c r="H24" s="388"/>
      <c r="I24" s="388"/>
      <c r="J24" s="388"/>
      <c r="K24" s="388"/>
      <c r="L24" s="314"/>
    </row>
    <row r="25" spans="1:11" ht="13.5">
      <c r="A25" s="220"/>
      <c r="B25" s="115" t="s">
        <v>112</v>
      </c>
      <c r="C25" s="116">
        <f>H19</f>
        <v>1300</v>
      </c>
      <c r="D25" s="117"/>
      <c r="E25" s="118"/>
      <c r="F25" s="481" t="s">
        <v>174</v>
      </c>
      <c r="G25" s="481"/>
      <c r="H25" s="481"/>
      <c r="I25" s="481"/>
      <c r="J25" s="481"/>
      <c r="K25" s="481"/>
    </row>
    <row r="26" spans="1:12" ht="14.25" thickBot="1">
      <c r="A26" s="220"/>
      <c r="B26" s="115" t="s">
        <v>36</v>
      </c>
      <c r="C26" s="116">
        <f>I19</f>
        <v>16711</v>
      </c>
      <c r="D26" s="117"/>
      <c r="E26" s="118"/>
      <c r="F26" s="481" t="s">
        <v>175</v>
      </c>
      <c r="G26" s="481"/>
      <c r="H26" s="481"/>
      <c r="I26" s="481"/>
      <c r="J26" s="481"/>
      <c r="K26" s="481"/>
      <c r="L26" s="314"/>
    </row>
    <row r="27" spans="2:9" ht="15.75" thickBot="1">
      <c r="B27" s="103" t="s">
        <v>173</v>
      </c>
      <c r="C27" s="122">
        <f>SUM(C22:C26)</f>
        <v>215387</v>
      </c>
      <c r="D27" s="123"/>
      <c r="E27" s="124"/>
      <c r="I27" s="308" t="s">
        <v>176</v>
      </c>
    </row>
    <row r="28" spans="2:3" ht="12">
      <c r="B28" s="217" t="s">
        <v>37</v>
      </c>
      <c r="C28" s="221">
        <f>L19</f>
        <v>18952</v>
      </c>
    </row>
    <row r="32" ht="12">
      <c r="E32" s="221"/>
    </row>
  </sheetData>
  <sheetProtection/>
  <mergeCells count="7">
    <mergeCell ref="A3:L3"/>
    <mergeCell ref="F23:K23"/>
    <mergeCell ref="F26:K26"/>
    <mergeCell ref="A19:D19"/>
    <mergeCell ref="A1:L1"/>
    <mergeCell ref="A2:L2"/>
    <mergeCell ref="F25:K25"/>
  </mergeCells>
  <printOptions horizontalCentered="1"/>
  <pageMargins left="0.75" right="0.75" top="0.25" bottom="0.5" header="0.2" footer="0.5"/>
  <pageSetup horizontalDpi="600" verticalDpi="6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423"/>
  <sheetViews>
    <sheetView zoomScalePageLayoutView="0" workbookViewId="0" topLeftCell="A253">
      <selection activeCell="E423" sqref="E423"/>
    </sheetView>
  </sheetViews>
  <sheetFormatPr defaultColWidth="9.140625" defaultRowHeight="12.75"/>
  <cols>
    <col min="1" max="1" width="6.00390625" style="2" customWidth="1"/>
    <col min="2" max="2" width="31.57421875" style="17" bestFit="1" customWidth="1"/>
    <col min="3" max="3" width="19.421875" style="4" customWidth="1"/>
    <col min="4" max="4" width="15.57421875" style="15" customWidth="1"/>
    <col min="5" max="5" width="13.57421875" style="16" customWidth="1"/>
    <col min="6" max="6" width="10.28125" style="2" customWidth="1"/>
    <col min="7" max="7" width="24.140625" style="1" customWidth="1"/>
    <col min="8" max="8" width="8.00390625" style="1" customWidth="1"/>
    <col min="9" max="9" width="7.7109375" style="1" customWidth="1"/>
    <col min="10" max="10" width="7.57421875" style="1" customWidth="1"/>
    <col min="11" max="11" width="8.8515625" style="1" customWidth="1"/>
    <col min="12" max="16384" width="9.140625" style="1" customWidth="1"/>
  </cols>
  <sheetData>
    <row r="1" ht="13.5"/>
    <row r="2" ht="13.5"/>
    <row r="3" ht="13.5"/>
    <row r="4" spans="1:7" s="10" customFormat="1" ht="15">
      <c r="A4" s="14" t="s">
        <v>182</v>
      </c>
      <c r="B4" s="12" t="s">
        <v>183</v>
      </c>
      <c r="C4" s="5" t="s">
        <v>90</v>
      </c>
      <c r="D4" s="3" t="s">
        <v>91</v>
      </c>
      <c r="E4" s="13" t="s">
        <v>92</v>
      </c>
      <c r="F4" s="14" t="s">
        <v>93</v>
      </c>
      <c r="G4" s="14" t="s">
        <v>94</v>
      </c>
    </row>
    <row r="5" spans="2:7" ht="13.5">
      <c r="B5" s="17" t="s">
        <v>159</v>
      </c>
      <c r="C5" s="4" t="s">
        <v>52</v>
      </c>
      <c r="D5" s="15" t="s">
        <v>20</v>
      </c>
      <c r="E5" s="16" t="s">
        <v>21</v>
      </c>
      <c r="F5" s="2" t="s">
        <v>80</v>
      </c>
      <c r="G5" s="1" t="s">
        <v>22</v>
      </c>
    </row>
    <row r="6" spans="2:7" ht="13.5">
      <c r="B6" s="17" t="s">
        <v>25</v>
      </c>
      <c r="C6" s="4" t="s">
        <v>52</v>
      </c>
      <c r="D6" s="15" t="s">
        <v>23</v>
      </c>
      <c r="E6" s="16" t="s">
        <v>26</v>
      </c>
      <c r="F6" s="2" t="s">
        <v>27</v>
      </c>
      <c r="G6" s="1" t="s">
        <v>22</v>
      </c>
    </row>
    <row r="7" spans="2:7" ht="13.5">
      <c r="B7" s="17" t="s">
        <v>263</v>
      </c>
      <c r="C7" s="4" t="s">
        <v>52</v>
      </c>
      <c r="D7" s="15" t="s">
        <v>1</v>
      </c>
      <c r="E7" s="16" t="s">
        <v>264</v>
      </c>
      <c r="F7" s="2" t="s">
        <v>80</v>
      </c>
      <c r="G7" s="1" t="s">
        <v>265</v>
      </c>
    </row>
    <row r="8" spans="2:7" ht="13.5">
      <c r="B8" s="17" t="s">
        <v>130</v>
      </c>
      <c r="C8" s="4" t="s">
        <v>333</v>
      </c>
      <c r="D8" s="15" t="s">
        <v>266</v>
      </c>
      <c r="E8" s="16" t="s">
        <v>267</v>
      </c>
      <c r="F8" s="2" t="s">
        <v>268</v>
      </c>
      <c r="G8" s="1" t="s">
        <v>269</v>
      </c>
    </row>
    <row r="9" spans="2:7" ht="13.5">
      <c r="B9" s="17" t="s">
        <v>270</v>
      </c>
      <c r="C9" s="4" t="s">
        <v>52</v>
      </c>
      <c r="D9" s="15" t="s">
        <v>271</v>
      </c>
      <c r="E9" s="16" t="s">
        <v>272</v>
      </c>
      <c r="F9" s="2" t="s">
        <v>80</v>
      </c>
      <c r="G9" s="1" t="s">
        <v>273</v>
      </c>
    </row>
    <row r="10" spans="2:7" ht="13.5">
      <c r="B10" s="17" t="s">
        <v>274</v>
      </c>
      <c r="C10" s="4" t="s">
        <v>333</v>
      </c>
      <c r="D10" s="15" t="s">
        <v>266</v>
      </c>
      <c r="E10" s="16" t="s">
        <v>275</v>
      </c>
      <c r="F10" s="2" t="s">
        <v>80</v>
      </c>
      <c r="G10" s="1" t="s">
        <v>276</v>
      </c>
    </row>
    <row r="11" spans="2:7" ht="13.5">
      <c r="B11" s="17" t="s">
        <v>277</v>
      </c>
      <c r="C11" s="4" t="s">
        <v>52</v>
      </c>
      <c r="D11" s="15" t="s">
        <v>278</v>
      </c>
      <c r="E11" s="16" t="s">
        <v>279</v>
      </c>
      <c r="F11" s="2" t="s">
        <v>280</v>
      </c>
      <c r="G11" s="1" t="s">
        <v>276</v>
      </c>
    </row>
    <row r="12" spans="2:7" ht="13.5">
      <c r="B12" s="17" t="s">
        <v>281</v>
      </c>
      <c r="C12" s="4" t="s">
        <v>52</v>
      </c>
      <c r="D12" s="15" t="s">
        <v>262</v>
      </c>
      <c r="E12" s="16" t="s">
        <v>282</v>
      </c>
      <c r="F12" s="2" t="s">
        <v>80</v>
      </c>
      <c r="G12" s="1" t="s">
        <v>283</v>
      </c>
    </row>
    <row r="13" spans="2:7" ht="13.5">
      <c r="B13" s="17" t="s">
        <v>284</v>
      </c>
      <c r="C13" s="4" t="s">
        <v>52</v>
      </c>
      <c r="D13" s="15" t="s">
        <v>285</v>
      </c>
      <c r="E13" s="16" t="s">
        <v>286</v>
      </c>
      <c r="F13" s="2" t="s">
        <v>80</v>
      </c>
      <c r="G13" s="1" t="s">
        <v>283</v>
      </c>
    </row>
    <row r="14" spans="2:7" ht="13.5">
      <c r="B14" s="17" t="s">
        <v>95</v>
      </c>
      <c r="C14" s="4" t="s">
        <v>52</v>
      </c>
      <c r="D14" s="15" t="s">
        <v>287</v>
      </c>
      <c r="E14" s="16" t="s">
        <v>288</v>
      </c>
      <c r="F14" s="2" t="s">
        <v>289</v>
      </c>
      <c r="G14" s="1" t="s">
        <v>276</v>
      </c>
    </row>
    <row r="15" spans="4:7" ht="13.5">
      <c r="D15" s="15" t="s">
        <v>387</v>
      </c>
      <c r="E15" s="16" t="s">
        <v>411</v>
      </c>
      <c r="F15" s="2" t="s">
        <v>412</v>
      </c>
      <c r="G15" s="1" t="s">
        <v>413</v>
      </c>
    </row>
    <row r="16" spans="2:7" ht="13.5">
      <c r="B16" s="17" t="s">
        <v>290</v>
      </c>
      <c r="C16" s="4" t="s">
        <v>52</v>
      </c>
      <c r="D16" s="15" t="s">
        <v>287</v>
      </c>
      <c r="E16" s="16" t="s">
        <v>291</v>
      </c>
      <c r="F16" s="2" t="s">
        <v>86</v>
      </c>
      <c r="G16" s="1" t="s">
        <v>276</v>
      </c>
    </row>
    <row r="17" spans="2:7" ht="13.5">
      <c r="B17" s="17" t="s">
        <v>292</v>
      </c>
      <c r="C17" s="4" t="s">
        <v>293</v>
      </c>
      <c r="D17" s="15" t="s">
        <v>294</v>
      </c>
      <c r="E17" s="16" t="s">
        <v>295</v>
      </c>
      <c r="F17" s="2" t="s">
        <v>24</v>
      </c>
      <c r="G17" s="1" t="s">
        <v>276</v>
      </c>
    </row>
    <row r="18" spans="2:7" ht="13.5">
      <c r="B18" s="17" t="s">
        <v>228</v>
      </c>
      <c r="C18" s="4" t="s">
        <v>293</v>
      </c>
      <c r="D18" s="15" t="s">
        <v>229</v>
      </c>
      <c r="E18" s="16" t="s">
        <v>230</v>
      </c>
      <c r="F18" s="2" t="s">
        <v>24</v>
      </c>
      <c r="G18" s="1" t="s">
        <v>269</v>
      </c>
    </row>
    <row r="19" spans="2:7" ht="13.5">
      <c r="B19" s="17" t="s">
        <v>84</v>
      </c>
      <c r="C19" s="4" t="s">
        <v>52</v>
      </c>
      <c r="D19" s="15" t="s">
        <v>231</v>
      </c>
      <c r="E19" s="16" t="s">
        <v>232</v>
      </c>
      <c r="F19" s="2" t="s">
        <v>80</v>
      </c>
      <c r="G19" s="1" t="s">
        <v>269</v>
      </c>
    </row>
    <row r="20" spans="2:7" ht="13.5">
      <c r="B20" s="17" t="s">
        <v>40</v>
      </c>
      <c r="C20" s="4" t="s">
        <v>52</v>
      </c>
      <c r="D20" s="15" t="s">
        <v>287</v>
      </c>
      <c r="E20" s="16" t="s">
        <v>295</v>
      </c>
      <c r="F20" s="2" t="s">
        <v>86</v>
      </c>
      <c r="G20" s="1" t="s">
        <v>276</v>
      </c>
    </row>
    <row r="21" spans="2:7" ht="13.5">
      <c r="B21" s="17" t="s">
        <v>40</v>
      </c>
      <c r="C21" s="4" t="s">
        <v>52</v>
      </c>
      <c r="D21" s="15" t="s">
        <v>231</v>
      </c>
      <c r="E21" s="16" t="s">
        <v>233</v>
      </c>
      <c r="F21" s="2" t="s">
        <v>86</v>
      </c>
      <c r="G21" s="1" t="s">
        <v>269</v>
      </c>
    </row>
    <row r="22" spans="2:7" ht="13.5">
      <c r="B22" s="17" t="s">
        <v>40</v>
      </c>
      <c r="C22" s="4" t="s">
        <v>52</v>
      </c>
      <c r="D22" s="15" t="s">
        <v>365</v>
      </c>
      <c r="E22" s="16" t="s">
        <v>366</v>
      </c>
      <c r="F22" s="2" t="s">
        <v>367</v>
      </c>
      <c r="G22" s="1" t="s">
        <v>368</v>
      </c>
    </row>
    <row r="23" spans="4:7" ht="13.5">
      <c r="D23" s="15" t="s">
        <v>420</v>
      </c>
      <c r="E23" s="16" t="s">
        <v>421</v>
      </c>
      <c r="F23" s="2" t="s">
        <v>422</v>
      </c>
      <c r="G23" s="1" t="s">
        <v>423</v>
      </c>
    </row>
    <row r="24" spans="4:5" ht="13.5">
      <c r="D24" s="15" t="s">
        <v>424</v>
      </c>
      <c r="E24" s="86" t="s">
        <v>425</v>
      </c>
    </row>
    <row r="25" spans="2:7" ht="13.5">
      <c r="B25" s="17" t="s">
        <v>234</v>
      </c>
      <c r="C25" s="4" t="s">
        <v>52</v>
      </c>
      <c r="D25" s="15" t="s">
        <v>21</v>
      </c>
      <c r="E25" s="16" t="s">
        <v>235</v>
      </c>
      <c r="F25" s="2" t="s">
        <v>236</v>
      </c>
      <c r="G25" s="1" t="s">
        <v>265</v>
      </c>
    </row>
    <row r="26" spans="2:7" ht="13.5">
      <c r="B26" s="17" t="s">
        <v>369</v>
      </c>
      <c r="C26" s="4" t="s">
        <v>52</v>
      </c>
      <c r="D26" s="15" t="s">
        <v>370</v>
      </c>
      <c r="E26" s="16" t="s">
        <v>371</v>
      </c>
      <c r="F26" s="2" t="s">
        <v>372</v>
      </c>
      <c r="G26" s="1" t="s">
        <v>373</v>
      </c>
    </row>
    <row r="27" spans="2:7" ht="13.5">
      <c r="B27" s="17" t="s">
        <v>374</v>
      </c>
      <c r="D27" s="15" t="s">
        <v>375</v>
      </c>
      <c r="E27" s="16" t="s">
        <v>376</v>
      </c>
      <c r="F27" s="2" t="s">
        <v>377</v>
      </c>
      <c r="G27" s="1" t="s">
        <v>380</v>
      </c>
    </row>
    <row r="28" spans="2:7" ht="13.5">
      <c r="B28" s="17" t="s">
        <v>374</v>
      </c>
      <c r="D28" s="15" t="s">
        <v>378</v>
      </c>
      <c r="E28" s="16">
        <v>17.042014</v>
      </c>
      <c r="F28" s="2" t="s">
        <v>379</v>
      </c>
      <c r="G28" s="1" t="s">
        <v>380</v>
      </c>
    </row>
    <row r="29" spans="2:7" ht="13.5">
      <c r="B29" s="17" t="s">
        <v>381</v>
      </c>
      <c r="D29" s="15" t="s">
        <v>382</v>
      </c>
      <c r="E29" s="16" t="s">
        <v>383</v>
      </c>
      <c r="F29" s="2" t="s">
        <v>384</v>
      </c>
      <c r="G29" s="1" t="s">
        <v>373</v>
      </c>
    </row>
    <row r="30" spans="2:7" ht="13.5">
      <c r="B30" s="17" t="s">
        <v>385</v>
      </c>
      <c r="D30" s="15" t="s">
        <v>386</v>
      </c>
      <c r="E30" s="16" t="s">
        <v>387</v>
      </c>
      <c r="F30" s="2" t="s">
        <v>384</v>
      </c>
      <c r="G30" s="1" t="s">
        <v>380</v>
      </c>
    </row>
    <row r="31" spans="2:7" ht="13.5">
      <c r="B31" s="17" t="s">
        <v>388</v>
      </c>
      <c r="D31" s="15" t="s">
        <v>286</v>
      </c>
      <c r="E31" s="16" t="s">
        <v>389</v>
      </c>
      <c r="F31" s="2" t="s">
        <v>384</v>
      </c>
      <c r="G31" s="1" t="s">
        <v>390</v>
      </c>
    </row>
    <row r="32" spans="2:7" ht="13.5">
      <c r="B32" s="17" t="s">
        <v>391</v>
      </c>
      <c r="D32" s="15" t="s">
        <v>392</v>
      </c>
      <c r="E32" s="16" t="s">
        <v>393</v>
      </c>
      <c r="F32" s="2" t="s">
        <v>394</v>
      </c>
      <c r="G32" s="1" t="s">
        <v>395</v>
      </c>
    </row>
    <row r="33" spans="2:7" ht="13.5">
      <c r="B33" s="17" t="s">
        <v>396</v>
      </c>
      <c r="C33" s="4" t="s">
        <v>397</v>
      </c>
      <c r="G33" s="1" t="s">
        <v>380</v>
      </c>
    </row>
    <row r="34" spans="2:7" ht="13.5">
      <c r="B34" s="17" t="s">
        <v>398</v>
      </c>
      <c r="D34" s="15" t="s">
        <v>279</v>
      </c>
      <c r="E34" s="16" t="s">
        <v>399</v>
      </c>
      <c r="F34" s="2" t="s">
        <v>400</v>
      </c>
      <c r="G34" s="1" t="s">
        <v>395</v>
      </c>
    </row>
    <row r="35" spans="2:7" ht="13.5">
      <c r="B35" s="17" t="s">
        <v>401</v>
      </c>
      <c r="D35" s="15" t="s">
        <v>402</v>
      </c>
      <c r="E35" s="16" t="s">
        <v>295</v>
      </c>
      <c r="F35" s="2" t="s">
        <v>403</v>
      </c>
      <c r="G35" s="1" t="s">
        <v>404</v>
      </c>
    </row>
    <row r="36" spans="2:7" ht="13.5">
      <c r="B36" s="17" t="s">
        <v>320</v>
      </c>
      <c r="D36" s="15" t="s">
        <v>420</v>
      </c>
      <c r="E36" s="16" t="s">
        <v>1081</v>
      </c>
      <c r="F36" s="2" t="s">
        <v>289</v>
      </c>
      <c r="G36" s="1" t="s">
        <v>405</v>
      </c>
    </row>
    <row r="37" spans="2:7" ht="13.5">
      <c r="B37" s="17" t="s">
        <v>406</v>
      </c>
      <c r="D37" s="15" t="s">
        <v>407</v>
      </c>
      <c r="E37" s="16" t="s">
        <v>286</v>
      </c>
      <c r="F37" s="2" t="s">
        <v>408</v>
      </c>
      <c r="G37" s="1" t="s">
        <v>409</v>
      </c>
    </row>
    <row r="38" spans="2:7" ht="13.5">
      <c r="B38" s="17" t="s">
        <v>414</v>
      </c>
      <c r="D38" s="15" t="s">
        <v>415</v>
      </c>
      <c r="E38" s="16" t="s">
        <v>416</v>
      </c>
      <c r="F38" s="2" t="s">
        <v>80</v>
      </c>
      <c r="G38" s="1" t="s">
        <v>413</v>
      </c>
    </row>
    <row r="39" spans="2:7" ht="13.5">
      <c r="B39" s="17" t="s">
        <v>417</v>
      </c>
      <c r="D39" s="15" t="s">
        <v>392</v>
      </c>
      <c r="E39" s="16" t="s">
        <v>418</v>
      </c>
      <c r="F39" s="2" t="s">
        <v>419</v>
      </c>
      <c r="G39" s="1" t="s">
        <v>413</v>
      </c>
    </row>
    <row r="40" spans="2:7" ht="13.5">
      <c r="B40" s="17" t="s">
        <v>426</v>
      </c>
      <c r="D40" s="15" t="s">
        <v>399</v>
      </c>
      <c r="E40" s="16" t="s">
        <v>427</v>
      </c>
      <c r="F40" s="2" t="s">
        <v>428</v>
      </c>
      <c r="G40" s="1" t="s">
        <v>429</v>
      </c>
    </row>
    <row r="41" spans="2:5" ht="13.5">
      <c r="B41" s="17" t="s">
        <v>432</v>
      </c>
      <c r="D41" s="15" t="s">
        <v>433</v>
      </c>
      <c r="E41" s="16" t="s">
        <v>434</v>
      </c>
    </row>
    <row r="42" ht="13.5"/>
    <row r="43" spans="2:7" ht="13.5">
      <c r="B43" s="17" t="s">
        <v>435</v>
      </c>
      <c r="D43" s="15" t="s">
        <v>436</v>
      </c>
      <c r="E43" s="16" t="s">
        <v>437</v>
      </c>
      <c r="F43" s="2" t="s">
        <v>438</v>
      </c>
      <c r="G43" s="1" t="s">
        <v>429</v>
      </c>
    </row>
    <row r="44" spans="2:5" ht="13.5">
      <c r="B44" s="17" t="s">
        <v>439</v>
      </c>
      <c r="D44" s="15" t="s">
        <v>365</v>
      </c>
      <c r="E44" s="16" t="s">
        <v>415</v>
      </c>
    </row>
    <row r="45" spans="4:7" ht="13.5">
      <c r="D45" s="15" t="s">
        <v>440</v>
      </c>
      <c r="E45" s="16" t="s">
        <v>441</v>
      </c>
      <c r="G45" s="1" t="s">
        <v>442</v>
      </c>
    </row>
    <row r="46" spans="2:7" ht="13.5">
      <c r="B46" s="17" t="s">
        <v>443</v>
      </c>
      <c r="D46" s="15" t="s">
        <v>420</v>
      </c>
      <c r="E46" s="16" t="s">
        <v>444</v>
      </c>
      <c r="F46" s="2" t="s">
        <v>384</v>
      </c>
      <c r="G46" s="1" t="s">
        <v>445</v>
      </c>
    </row>
    <row r="47" spans="2:7" ht="13.5">
      <c r="B47" s="17" t="s">
        <v>446</v>
      </c>
      <c r="D47" s="15" t="s">
        <v>447</v>
      </c>
      <c r="E47" s="16" t="s">
        <v>448</v>
      </c>
      <c r="F47" s="2" t="s">
        <v>372</v>
      </c>
      <c r="G47" s="1" t="s">
        <v>449</v>
      </c>
    </row>
    <row r="48" spans="2:7" ht="13.5">
      <c r="B48" s="17" t="s">
        <v>450</v>
      </c>
      <c r="D48" s="15" t="s">
        <v>451</v>
      </c>
      <c r="E48" s="16" t="s">
        <v>397</v>
      </c>
      <c r="G48" s="1" t="s">
        <v>452</v>
      </c>
    </row>
    <row r="49" spans="2:7" ht="13.5">
      <c r="B49" s="17" t="s">
        <v>454</v>
      </c>
      <c r="D49" s="15" t="s">
        <v>455</v>
      </c>
      <c r="E49" s="16" t="s">
        <v>427</v>
      </c>
      <c r="F49" s="2" t="s">
        <v>456</v>
      </c>
      <c r="G49" s="1" t="s">
        <v>457</v>
      </c>
    </row>
    <row r="50" spans="2:7" ht="13.5">
      <c r="B50" s="17" t="s">
        <v>458</v>
      </c>
      <c r="D50" s="15" t="s">
        <v>459</v>
      </c>
      <c r="E50" s="16" t="s">
        <v>460</v>
      </c>
      <c r="F50" s="2" t="s">
        <v>461</v>
      </c>
      <c r="G50" s="1" t="s">
        <v>457</v>
      </c>
    </row>
    <row r="51" spans="2:7" ht="13.5">
      <c r="B51" s="17" t="s">
        <v>462</v>
      </c>
      <c r="D51" s="15" t="s">
        <v>455</v>
      </c>
      <c r="E51" s="16" t="s">
        <v>463</v>
      </c>
      <c r="F51" s="2" t="s">
        <v>464</v>
      </c>
      <c r="G51" s="1" t="s">
        <v>465</v>
      </c>
    </row>
    <row r="52" spans="2:7" ht="13.5">
      <c r="B52" s="17" t="s">
        <v>466</v>
      </c>
      <c r="D52" s="15" t="s">
        <v>459</v>
      </c>
      <c r="E52" s="16" t="s">
        <v>467</v>
      </c>
      <c r="F52" s="2" t="s">
        <v>367</v>
      </c>
      <c r="G52" s="1" t="s">
        <v>457</v>
      </c>
    </row>
    <row r="53" spans="2:7" ht="13.5">
      <c r="B53" s="17" t="s">
        <v>468</v>
      </c>
      <c r="D53" s="15" t="s">
        <v>459</v>
      </c>
      <c r="E53" s="16" t="s">
        <v>467</v>
      </c>
      <c r="F53" s="2" t="s">
        <v>367</v>
      </c>
      <c r="G53" s="1" t="s">
        <v>457</v>
      </c>
    </row>
    <row r="54" spans="2:7" ht="13.5">
      <c r="B54" s="17" t="s">
        <v>469</v>
      </c>
      <c r="D54" s="15" t="s">
        <v>470</v>
      </c>
      <c r="E54" s="16" t="s">
        <v>471</v>
      </c>
      <c r="F54" s="2" t="s">
        <v>384</v>
      </c>
      <c r="G54" s="1" t="s">
        <v>472</v>
      </c>
    </row>
    <row r="55" spans="2:7" ht="13.5">
      <c r="B55" s="17" t="s">
        <v>473</v>
      </c>
      <c r="D55" s="15" t="s">
        <v>455</v>
      </c>
      <c r="E55" s="16" t="s">
        <v>427</v>
      </c>
      <c r="F55" s="2" t="s">
        <v>456</v>
      </c>
      <c r="G55" s="1" t="s">
        <v>445</v>
      </c>
    </row>
    <row r="56" spans="2:7" ht="13.5">
      <c r="B56" s="17" t="s">
        <v>474</v>
      </c>
      <c r="D56" s="15" t="s">
        <v>475</v>
      </c>
      <c r="E56" s="16" t="s">
        <v>397</v>
      </c>
      <c r="G56" s="1" t="s">
        <v>465</v>
      </c>
    </row>
    <row r="57" spans="2:7" ht="13.5">
      <c r="B57" s="17" t="s">
        <v>476</v>
      </c>
      <c r="D57" s="15" t="s">
        <v>455</v>
      </c>
      <c r="E57" s="16" t="s">
        <v>477</v>
      </c>
      <c r="F57" s="2" t="s">
        <v>478</v>
      </c>
      <c r="G57" s="1" t="s">
        <v>479</v>
      </c>
    </row>
    <row r="58" spans="2:7" ht="13.5">
      <c r="B58" s="17" t="s">
        <v>480</v>
      </c>
      <c r="D58" s="15" t="s">
        <v>481</v>
      </c>
      <c r="E58" s="16" t="s">
        <v>482</v>
      </c>
      <c r="F58" s="2" t="s">
        <v>483</v>
      </c>
      <c r="G58" s="1" t="s">
        <v>479</v>
      </c>
    </row>
    <row r="59" spans="2:4" ht="25.5">
      <c r="B59" s="17" t="s">
        <v>484</v>
      </c>
      <c r="D59" s="15" t="s">
        <v>485</v>
      </c>
    </row>
    <row r="60" spans="2:7" ht="13.5">
      <c r="B60" s="17" t="s">
        <v>486</v>
      </c>
      <c r="D60" s="15" t="s">
        <v>459</v>
      </c>
      <c r="E60" s="16" t="s">
        <v>467</v>
      </c>
      <c r="F60" s="2" t="s">
        <v>367</v>
      </c>
      <c r="G60" s="1" t="s">
        <v>487</v>
      </c>
    </row>
    <row r="61" spans="2:7" ht="13.5">
      <c r="B61" s="17" t="s">
        <v>489</v>
      </c>
      <c r="D61" s="15" t="s">
        <v>488</v>
      </c>
      <c r="E61" s="16" t="s">
        <v>467</v>
      </c>
      <c r="F61" s="2" t="s">
        <v>384</v>
      </c>
      <c r="G61" s="1" t="s">
        <v>487</v>
      </c>
    </row>
    <row r="62" spans="2:7" ht="13.5">
      <c r="B62" s="17" t="s">
        <v>490</v>
      </c>
      <c r="D62" s="15" t="s">
        <v>491</v>
      </c>
      <c r="E62" s="16" t="s">
        <v>492</v>
      </c>
      <c r="F62" s="2" t="s">
        <v>384</v>
      </c>
      <c r="G62" s="1" t="s">
        <v>493</v>
      </c>
    </row>
    <row r="63" spans="2:7" ht="13.5">
      <c r="B63" s="17" t="s">
        <v>494</v>
      </c>
      <c r="D63" s="15" t="s">
        <v>459</v>
      </c>
      <c r="E63" s="16" t="s">
        <v>491</v>
      </c>
      <c r="F63" s="2" t="s">
        <v>372</v>
      </c>
      <c r="G63" s="1" t="s">
        <v>495</v>
      </c>
    </row>
    <row r="64" spans="2:7" ht="13.5">
      <c r="B64" s="17" t="s">
        <v>496</v>
      </c>
      <c r="D64" s="15" t="s">
        <v>497</v>
      </c>
      <c r="E64" s="16" t="s">
        <v>498</v>
      </c>
      <c r="F64" s="2" t="s">
        <v>464</v>
      </c>
      <c r="G64" s="1" t="s">
        <v>495</v>
      </c>
    </row>
    <row r="65" spans="2:7" ht="13.5">
      <c r="B65" s="17" t="s">
        <v>499</v>
      </c>
      <c r="D65" s="15" t="s">
        <v>500</v>
      </c>
      <c r="E65" s="16" t="s">
        <v>482</v>
      </c>
      <c r="F65" s="2" t="s">
        <v>501</v>
      </c>
      <c r="G65" s="1" t="s">
        <v>495</v>
      </c>
    </row>
    <row r="66" spans="2:7" ht="13.5">
      <c r="B66" s="17" t="s">
        <v>502</v>
      </c>
      <c r="D66" s="15" t="s">
        <v>564</v>
      </c>
      <c r="E66" s="16" t="s">
        <v>467</v>
      </c>
      <c r="F66" s="2" t="s">
        <v>565</v>
      </c>
      <c r="G66" s="1" t="s">
        <v>566</v>
      </c>
    </row>
    <row r="67" spans="2:7" ht="13.5">
      <c r="B67" s="17" t="s">
        <v>503</v>
      </c>
      <c r="D67" s="15" t="s">
        <v>448</v>
      </c>
      <c r="E67" s="16" t="s">
        <v>504</v>
      </c>
      <c r="F67" s="2" t="s">
        <v>478</v>
      </c>
      <c r="G67" s="1" t="s">
        <v>505</v>
      </c>
    </row>
    <row r="68" spans="2:7" ht="13.5">
      <c r="B68" s="17" t="s">
        <v>508</v>
      </c>
      <c r="D68" s="15" t="s">
        <v>448</v>
      </c>
      <c r="E68" s="16" t="s">
        <v>504</v>
      </c>
      <c r="F68" s="2" t="s">
        <v>478</v>
      </c>
      <c r="G68" s="1" t="s">
        <v>505</v>
      </c>
    </row>
    <row r="69" spans="2:7" ht="13.5">
      <c r="B69" s="17" t="s">
        <v>509</v>
      </c>
      <c r="D69" s="15" t="s">
        <v>510</v>
      </c>
      <c r="E69" s="16" t="s">
        <v>488</v>
      </c>
      <c r="F69" s="2" t="s">
        <v>511</v>
      </c>
      <c r="G69" s="1" t="s">
        <v>512</v>
      </c>
    </row>
    <row r="70" spans="2:7" ht="13.5">
      <c r="B70" s="17" t="s">
        <v>513</v>
      </c>
      <c r="D70" s="15" t="s">
        <v>491</v>
      </c>
      <c r="E70" s="16" t="s">
        <v>492</v>
      </c>
      <c r="F70" s="2" t="s">
        <v>384</v>
      </c>
      <c r="G70" s="1" t="s">
        <v>514</v>
      </c>
    </row>
    <row r="71" spans="2:7" ht="13.5">
      <c r="B71" s="17" t="s">
        <v>515</v>
      </c>
      <c r="D71" s="15" t="s">
        <v>460</v>
      </c>
      <c r="E71" s="16" t="s">
        <v>516</v>
      </c>
      <c r="F71" s="2" t="s">
        <v>456</v>
      </c>
      <c r="G71" s="1" t="s">
        <v>512</v>
      </c>
    </row>
    <row r="72" spans="2:7" ht="13.5">
      <c r="B72" s="17" t="s">
        <v>518</v>
      </c>
      <c r="D72" s="15" t="s">
        <v>519</v>
      </c>
      <c r="E72" s="16" t="s">
        <v>482</v>
      </c>
      <c r="F72" s="2" t="s">
        <v>379</v>
      </c>
      <c r="G72" s="1" t="s">
        <v>520</v>
      </c>
    </row>
    <row r="73" spans="2:7" ht="13.5">
      <c r="B73" s="17" t="s">
        <v>521</v>
      </c>
      <c r="D73" s="15" t="s">
        <v>459</v>
      </c>
      <c r="E73" s="16" t="s">
        <v>522</v>
      </c>
      <c r="F73" s="2" t="s">
        <v>523</v>
      </c>
      <c r="G73" s="1" t="s">
        <v>520</v>
      </c>
    </row>
    <row r="74" spans="2:7" ht="13.5">
      <c r="B74" s="17" t="s">
        <v>524</v>
      </c>
      <c r="D74" s="15" t="s">
        <v>525</v>
      </c>
      <c r="E74" s="16" t="s">
        <v>522</v>
      </c>
      <c r="F74" s="2" t="s">
        <v>526</v>
      </c>
      <c r="G74" s="1" t="s">
        <v>514</v>
      </c>
    </row>
    <row r="75" spans="2:7" ht="13.5">
      <c r="B75" s="17" t="s">
        <v>527</v>
      </c>
      <c r="D75" s="15" t="s">
        <v>504</v>
      </c>
      <c r="E75" s="16" t="s">
        <v>528</v>
      </c>
      <c r="F75" s="2" t="s">
        <v>529</v>
      </c>
      <c r="G75" s="1" t="s">
        <v>520</v>
      </c>
    </row>
    <row r="76" spans="2:7" ht="13.5">
      <c r="B76" s="17" t="s">
        <v>530</v>
      </c>
      <c r="D76" s="15" t="s">
        <v>488</v>
      </c>
      <c r="E76" s="16" t="s">
        <v>531</v>
      </c>
      <c r="F76" s="2" t="s">
        <v>532</v>
      </c>
      <c r="G76" s="1" t="s">
        <v>533</v>
      </c>
    </row>
    <row r="77" spans="4:7" ht="13.5">
      <c r="D77" s="15" t="s">
        <v>455</v>
      </c>
      <c r="E77" s="16" t="s">
        <v>463</v>
      </c>
      <c r="G77" s="1" t="s">
        <v>533</v>
      </c>
    </row>
    <row r="78" spans="2:7" ht="13.5">
      <c r="B78" s="17" t="s">
        <v>530</v>
      </c>
      <c r="D78" s="15" t="s">
        <v>471</v>
      </c>
      <c r="E78" s="16" t="s">
        <v>477</v>
      </c>
      <c r="F78" s="2" t="s">
        <v>534</v>
      </c>
      <c r="G78" s="1" t="s">
        <v>520</v>
      </c>
    </row>
    <row r="79" spans="2:7" ht="13.5">
      <c r="B79" s="17" t="s">
        <v>535</v>
      </c>
      <c r="D79" s="15" t="s">
        <v>491</v>
      </c>
      <c r="E79" s="16" t="s">
        <v>536</v>
      </c>
      <c r="F79" s="2" t="s">
        <v>537</v>
      </c>
      <c r="G79" s="1" t="s">
        <v>520</v>
      </c>
    </row>
    <row r="80" spans="4:7" ht="13.5">
      <c r="D80" s="15">
        <v>4.072014</v>
      </c>
      <c r="E80" s="16" t="s">
        <v>538</v>
      </c>
      <c r="F80" s="2" t="s">
        <v>367</v>
      </c>
      <c r="G80" s="1" t="s">
        <v>520</v>
      </c>
    </row>
    <row r="81" spans="2:7" ht="13.5">
      <c r="B81" s="17" t="s">
        <v>539</v>
      </c>
      <c r="D81" s="15" t="s">
        <v>540</v>
      </c>
      <c r="E81" s="16" t="s">
        <v>519</v>
      </c>
      <c r="F81" s="2" t="s">
        <v>541</v>
      </c>
      <c r="G81" s="1" t="s">
        <v>520</v>
      </c>
    </row>
    <row r="82" spans="2:7" ht="13.5">
      <c r="B82" s="17" t="s">
        <v>545</v>
      </c>
      <c r="D82" s="15" t="s">
        <v>546</v>
      </c>
      <c r="E82" s="16" t="s">
        <v>547</v>
      </c>
      <c r="F82" s="2" t="s">
        <v>384</v>
      </c>
      <c r="G82" s="1" t="s">
        <v>548</v>
      </c>
    </row>
    <row r="83" spans="2:7" ht="13.5">
      <c r="B83" s="17" t="s">
        <v>574</v>
      </c>
      <c r="D83" s="15" t="s">
        <v>427</v>
      </c>
      <c r="E83" s="16" t="s">
        <v>549</v>
      </c>
      <c r="F83" s="2" t="s">
        <v>464</v>
      </c>
      <c r="G83" s="1" t="s">
        <v>548</v>
      </c>
    </row>
    <row r="84" spans="2:7" ht="13.5">
      <c r="B84" s="17" t="s">
        <v>550</v>
      </c>
      <c r="D84" s="15" t="s">
        <v>427</v>
      </c>
      <c r="E84" s="16" t="s">
        <v>549</v>
      </c>
      <c r="F84" s="2" t="s">
        <v>464</v>
      </c>
      <c r="G84" s="1" t="s">
        <v>554</v>
      </c>
    </row>
    <row r="85" spans="2:7" ht="13.5">
      <c r="B85" s="17" t="s">
        <v>551</v>
      </c>
      <c r="D85" s="15" t="s">
        <v>552</v>
      </c>
      <c r="E85" s="16" t="s">
        <v>553</v>
      </c>
      <c r="F85" s="2" t="s">
        <v>537</v>
      </c>
      <c r="G85" s="1" t="s">
        <v>554</v>
      </c>
    </row>
    <row r="86" spans="2:7" ht="13.5">
      <c r="B86" s="17" t="s">
        <v>555</v>
      </c>
      <c r="D86" s="15" t="s">
        <v>552</v>
      </c>
      <c r="E86" s="16" t="s">
        <v>556</v>
      </c>
      <c r="F86" s="2" t="s">
        <v>461</v>
      </c>
      <c r="G86" s="1" t="s">
        <v>557</v>
      </c>
    </row>
    <row r="87" spans="2:7" ht="13.5">
      <c r="B87" s="17" t="s">
        <v>558</v>
      </c>
      <c r="D87" s="15" t="s">
        <v>516</v>
      </c>
      <c r="E87" s="16" t="s">
        <v>559</v>
      </c>
      <c r="F87" s="2" t="s">
        <v>461</v>
      </c>
      <c r="G87" s="1" t="s">
        <v>554</v>
      </c>
    </row>
    <row r="88" spans="2:7" ht="13.5">
      <c r="B88" s="17" t="s">
        <v>560</v>
      </c>
      <c r="D88" s="15" t="s">
        <v>561</v>
      </c>
      <c r="E88" s="16" t="s">
        <v>562</v>
      </c>
      <c r="F88" s="2" t="s">
        <v>461</v>
      </c>
      <c r="G88" s="1" t="s">
        <v>557</v>
      </c>
    </row>
    <row r="89" spans="2:7" ht="13.5">
      <c r="B89" s="17" t="s">
        <v>567</v>
      </c>
      <c r="D89" s="15" t="s">
        <v>552</v>
      </c>
      <c r="E89" s="16" t="s">
        <v>538</v>
      </c>
      <c r="F89" s="2" t="s">
        <v>568</v>
      </c>
      <c r="G89" s="1" t="s">
        <v>569</v>
      </c>
    </row>
    <row r="90" spans="2:7" ht="13.5">
      <c r="B90" s="17" t="s">
        <v>570</v>
      </c>
      <c r="D90" s="15" t="s">
        <v>504</v>
      </c>
      <c r="E90" s="16" t="s">
        <v>427</v>
      </c>
      <c r="F90" s="2" t="s">
        <v>403</v>
      </c>
      <c r="G90" s="1" t="s">
        <v>569</v>
      </c>
    </row>
    <row r="91" spans="2:7" ht="13.5">
      <c r="B91" s="17" t="s">
        <v>571</v>
      </c>
      <c r="D91" s="15" t="s">
        <v>559</v>
      </c>
      <c r="E91" s="16" t="s">
        <v>572</v>
      </c>
      <c r="F91" s="2" t="s">
        <v>384</v>
      </c>
      <c r="G91" s="1" t="s">
        <v>573</v>
      </c>
    </row>
    <row r="92" spans="2:7" ht="13.5">
      <c r="B92" s="17" t="s">
        <v>575</v>
      </c>
      <c r="D92" s="15" t="s">
        <v>576</v>
      </c>
      <c r="E92" s="16" t="s">
        <v>516</v>
      </c>
      <c r="F92" s="2" t="s">
        <v>372</v>
      </c>
      <c r="G92" s="1" t="s">
        <v>577</v>
      </c>
    </row>
    <row r="93" spans="2:7" ht="13.5">
      <c r="B93" s="17" t="s">
        <v>578</v>
      </c>
      <c r="D93" s="15" t="s">
        <v>579</v>
      </c>
      <c r="E93" s="16" t="s">
        <v>580</v>
      </c>
      <c r="F93" s="2" t="s">
        <v>384</v>
      </c>
      <c r="G93" s="1" t="s">
        <v>581</v>
      </c>
    </row>
    <row r="94" spans="2:7" ht="13.5">
      <c r="B94" s="17" t="s">
        <v>582</v>
      </c>
      <c r="D94" s="15" t="s">
        <v>583</v>
      </c>
      <c r="E94" s="16" t="s">
        <v>584</v>
      </c>
      <c r="F94" s="2" t="s">
        <v>464</v>
      </c>
      <c r="G94" s="1" t="s">
        <v>585</v>
      </c>
    </row>
    <row r="95" spans="4:7" ht="13.5">
      <c r="D95" s="15" t="s">
        <v>617</v>
      </c>
      <c r="E95" s="16" t="s">
        <v>618</v>
      </c>
      <c r="F95" s="2" t="s">
        <v>534</v>
      </c>
      <c r="G95" s="1" t="s">
        <v>619</v>
      </c>
    </row>
    <row r="96" spans="2:7" ht="13.5">
      <c r="B96" s="17" t="s">
        <v>592</v>
      </c>
      <c r="D96" s="15" t="s">
        <v>593</v>
      </c>
      <c r="E96" s="16" t="s">
        <v>594</v>
      </c>
      <c r="F96" s="2" t="s">
        <v>595</v>
      </c>
      <c r="G96" s="1" t="s">
        <v>596</v>
      </c>
    </row>
    <row r="97" spans="2:7" ht="13.5">
      <c r="B97" s="17" t="s">
        <v>597</v>
      </c>
      <c r="D97" s="15" t="s">
        <v>598</v>
      </c>
      <c r="E97" s="16" t="s">
        <v>599</v>
      </c>
      <c r="F97" s="2" t="s">
        <v>600</v>
      </c>
      <c r="G97" s="1" t="s">
        <v>601</v>
      </c>
    </row>
    <row r="98" spans="2:7" ht="13.5">
      <c r="B98" s="17" t="s">
        <v>602</v>
      </c>
      <c r="D98" s="15" t="s">
        <v>553</v>
      </c>
      <c r="E98" s="16" t="s">
        <v>603</v>
      </c>
      <c r="F98" s="2" t="s">
        <v>604</v>
      </c>
      <c r="G98" s="1" t="s">
        <v>605</v>
      </c>
    </row>
    <row r="99" spans="4:7" ht="13.5">
      <c r="D99" s="15" t="s">
        <v>638</v>
      </c>
      <c r="E99" s="16" t="s">
        <v>639</v>
      </c>
      <c r="F99" s="2" t="s">
        <v>568</v>
      </c>
      <c r="G99" s="1" t="s">
        <v>640</v>
      </c>
    </row>
    <row r="100" spans="2:7" ht="13.5">
      <c r="B100" s="17" t="s">
        <v>606</v>
      </c>
      <c r="D100" s="15" t="s">
        <v>607</v>
      </c>
      <c r="E100" s="16" t="s">
        <v>608</v>
      </c>
      <c r="F100" s="2" t="s">
        <v>438</v>
      </c>
      <c r="G100" s="1" t="s">
        <v>605</v>
      </c>
    </row>
    <row r="101" spans="2:7" ht="13.5">
      <c r="B101" s="17" t="s">
        <v>609</v>
      </c>
      <c r="D101" s="15" t="s">
        <v>607</v>
      </c>
      <c r="E101" s="16" t="s">
        <v>608</v>
      </c>
      <c r="F101" s="2" t="s">
        <v>438</v>
      </c>
      <c r="G101" s="1" t="s">
        <v>605</v>
      </c>
    </row>
    <row r="102" spans="2:7" ht="13.5">
      <c r="B102" s="17" t="s">
        <v>610</v>
      </c>
      <c r="D102" s="15" t="s">
        <v>611</v>
      </c>
      <c r="E102" s="16" t="s">
        <v>612</v>
      </c>
      <c r="F102" s="2" t="s">
        <v>367</v>
      </c>
      <c r="G102" s="1" t="s">
        <v>605</v>
      </c>
    </row>
    <row r="103" spans="2:7" ht="13.5">
      <c r="B103" s="17" t="s">
        <v>613</v>
      </c>
      <c r="D103" s="15" t="s">
        <v>556</v>
      </c>
      <c r="E103" s="16" t="s">
        <v>614</v>
      </c>
      <c r="F103" s="2" t="s">
        <v>615</v>
      </c>
      <c r="G103" s="1" t="s">
        <v>616</v>
      </c>
    </row>
    <row r="104" spans="2:7" ht="18.75">
      <c r="B104" s="487">
        <v>41883</v>
      </c>
      <c r="C104" s="487"/>
      <c r="D104" s="487"/>
      <c r="E104" s="487"/>
      <c r="F104" s="487"/>
      <c r="G104" s="487"/>
    </row>
    <row r="105" spans="2:7" ht="13.5">
      <c r="B105" s="17" t="s">
        <v>620</v>
      </c>
      <c r="D105" s="15" t="s">
        <v>621</v>
      </c>
      <c r="E105" s="16" t="s">
        <v>622</v>
      </c>
      <c r="F105" s="2" t="s">
        <v>483</v>
      </c>
      <c r="G105" s="1" t="s">
        <v>623</v>
      </c>
    </row>
    <row r="106" spans="2:7" ht="13.5">
      <c r="B106" s="17" t="s">
        <v>624</v>
      </c>
      <c r="D106" s="15" t="s">
        <v>621</v>
      </c>
      <c r="E106" s="16" t="s">
        <v>625</v>
      </c>
      <c r="F106" s="2" t="s">
        <v>372</v>
      </c>
      <c r="G106" s="1" t="s">
        <v>619</v>
      </c>
    </row>
    <row r="107" spans="2:7" ht="13.5">
      <c r="B107" s="17" t="s">
        <v>626</v>
      </c>
      <c r="D107" s="15" t="s">
        <v>556</v>
      </c>
      <c r="E107" s="16" t="s">
        <v>627</v>
      </c>
      <c r="F107" s="2" t="s">
        <v>384</v>
      </c>
      <c r="G107" s="1" t="s">
        <v>628</v>
      </c>
    </row>
    <row r="108" spans="2:7" ht="13.5">
      <c r="B108" s="17" t="s">
        <v>629</v>
      </c>
      <c r="D108" s="15" t="s">
        <v>562</v>
      </c>
      <c r="E108" s="16" t="s">
        <v>627</v>
      </c>
      <c r="F108" s="2" t="s">
        <v>372</v>
      </c>
      <c r="G108" s="1" t="s">
        <v>581</v>
      </c>
    </row>
    <row r="109" spans="2:7" ht="25.5">
      <c r="B109" s="17" t="s">
        <v>630</v>
      </c>
      <c r="D109" s="15" t="s">
        <v>598</v>
      </c>
      <c r="E109" s="87" t="s">
        <v>631</v>
      </c>
      <c r="F109" s="2" t="s">
        <v>379</v>
      </c>
      <c r="G109" s="1" t="s">
        <v>632</v>
      </c>
    </row>
    <row r="110" ht="13.5"/>
    <row r="111" spans="2:7" ht="13.5">
      <c r="B111" s="17" t="s">
        <v>633</v>
      </c>
      <c r="D111" s="15" t="s">
        <v>611</v>
      </c>
      <c r="E111" s="16" t="s">
        <v>599</v>
      </c>
      <c r="F111" s="2" t="s">
        <v>384</v>
      </c>
      <c r="G111" s="1" t="s">
        <v>634</v>
      </c>
    </row>
    <row r="112" spans="2:7" ht="13.5">
      <c r="B112" s="17" t="s">
        <v>635</v>
      </c>
      <c r="D112" s="15" t="s">
        <v>538</v>
      </c>
      <c r="E112" s="16" t="s">
        <v>636</v>
      </c>
      <c r="F112" s="486" t="s">
        <v>637</v>
      </c>
      <c r="G112" s="486" t="s">
        <v>634</v>
      </c>
    </row>
    <row r="113" spans="4:7" ht="13.5">
      <c r="D113" s="15" t="s">
        <v>611</v>
      </c>
      <c r="E113" s="16" t="s">
        <v>599</v>
      </c>
      <c r="F113" s="486"/>
      <c r="G113" s="486"/>
    </row>
    <row r="114" spans="2:7" ht="13.5">
      <c r="B114" s="17" t="s">
        <v>518</v>
      </c>
      <c r="D114" s="15" t="s">
        <v>644</v>
      </c>
      <c r="E114" s="16" t="s">
        <v>645</v>
      </c>
      <c r="F114" s="2" t="s">
        <v>379</v>
      </c>
      <c r="G114" s="1" t="s">
        <v>646</v>
      </c>
    </row>
    <row r="115" spans="2:7" ht="13.5">
      <c r="B115" s="17" t="s">
        <v>649</v>
      </c>
      <c r="D115" s="15" t="s">
        <v>647</v>
      </c>
      <c r="E115" s="16" t="s">
        <v>648</v>
      </c>
      <c r="F115" s="2" t="s">
        <v>372</v>
      </c>
      <c r="G115" s="1" t="s">
        <v>646</v>
      </c>
    </row>
    <row r="116" spans="2:7" ht="13.5">
      <c r="B116" s="17" t="s">
        <v>650</v>
      </c>
      <c r="D116" s="15" t="s">
        <v>651</v>
      </c>
      <c r="E116" s="16" t="s">
        <v>652</v>
      </c>
      <c r="F116" s="2" t="s">
        <v>384</v>
      </c>
      <c r="G116" s="1" t="s">
        <v>646</v>
      </c>
    </row>
    <row r="117" spans="2:7" ht="13.5">
      <c r="B117" s="17" t="s">
        <v>653</v>
      </c>
      <c r="D117" s="15" t="s">
        <v>654</v>
      </c>
      <c r="E117" s="16" t="s">
        <v>655</v>
      </c>
      <c r="F117" s="2" t="s">
        <v>656</v>
      </c>
      <c r="G117" s="1" t="s">
        <v>646</v>
      </c>
    </row>
    <row r="118" spans="2:7" ht="13.5">
      <c r="B118" s="17" t="s">
        <v>469</v>
      </c>
      <c r="D118" s="15" t="s">
        <v>657</v>
      </c>
      <c r="E118" s="16" t="s">
        <v>622</v>
      </c>
      <c r="F118" s="2" t="s">
        <v>658</v>
      </c>
      <c r="G118" s="1" t="s">
        <v>659</v>
      </c>
    </row>
    <row r="119" spans="2:7" ht="13.5">
      <c r="B119" s="17" t="s">
        <v>660</v>
      </c>
      <c r="D119" s="15" t="s">
        <v>647</v>
      </c>
      <c r="E119" s="16" t="s">
        <v>661</v>
      </c>
      <c r="F119" s="2" t="s">
        <v>379</v>
      </c>
      <c r="G119" s="1" t="s">
        <v>659</v>
      </c>
    </row>
    <row r="120" spans="2:7" ht="13.5">
      <c r="B120" s="17" t="s">
        <v>662</v>
      </c>
      <c r="D120" s="15" t="s">
        <v>663</v>
      </c>
      <c r="E120" s="16" t="s">
        <v>661</v>
      </c>
      <c r="F120" s="2" t="s">
        <v>664</v>
      </c>
      <c r="G120" s="1" t="s">
        <v>659</v>
      </c>
    </row>
    <row r="121" spans="2:7" ht="13.5">
      <c r="B121" s="17" t="s">
        <v>506</v>
      </c>
      <c r="D121" s="15" t="s">
        <v>599</v>
      </c>
      <c r="E121" s="16" t="s">
        <v>665</v>
      </c>
      <c r="F121" s="2" t="s">
        <v>367</v>
      </c>
      <c r="G121" s="1" t="s">
        <v>659</v>
      </c>
    </row>
    <row r="122" spans="2:7" ht="13.5">
      <c r="B122" s="17" t="s">
        <v>432</v>
      </c>
      <c r="D122" s="15" t="s">
        <v>666</v>
      </c>
      <c r="E122" s="16" t="s">
        <v>667</v>
      </c>
      <c r="F122" s="2" t="s">
        <v>372</v>
      </c>
      <c r="G122" s="1" t="s">
        <v>659</v>
      </c>
    </row>
    <row r="123" spans="2:7" ht="13.5">
      <c r="B123" s="17" t="s">
        <v>513</v>
      </c>
      <c r="D123" s="15" t="s">
        <v>663</v>
      </c>
      <c r="E123" s="16" t="s">
        <v>661</v>
      </c>
      <c r="F123" s="2" t="s">
        <v>523</v>
      </c>
      <c r="G123" s="1" t="s">
        <v>659</v>
      </c>
    </row>
    <row r="124" spans="2:7" ht="13.5">
      <c r="B124" s="17" t="s">
        <v>668</v>
      </c>
      <c r="D124" s="15" t="s">
        <v>669</v>
      </c>
      <c r="E124" s="16" t="s">
        <v>667</v>
      </c>
      <c r="F124" s="2" t="s">
        <v>384</v>
      </c>
      <c r="G124" s="1" t="s">
        <v>659</v>
      </c>
    </row>
    <row r="125" spans="2:7" ht="13.5">
      <c r="B125" s="17" t="s">
        <v>670</v>
      </c>
      <c r="D125" s="15" t="s">
        <v>657</v>
      </c>
      <c r="E125" s="16" t="s">
        <v>671</v>
      </c>
      <c r="F125" s="2" t="s">
        <v>672</v>
      </c>
      <c r="G125" s="1" t="s">
        <v>673</v>
      </c>
    </row>
    <row r="126" spans="2:7" ht="13.5">
      <c r="B126" s="17" t="s">
        <v>674</v>
      </c>
      <c r="D126" s="15" t="s">
        <v>647</v>
      </c>
      <c r="E126" s="16" t="s">
        <v>648</v>
      </c>
      <c r="F126" s="2" t="s">
        <v>372</v>
      </c>
      <c r="G126" s="1" t="s">
        <v>646</v>
      </c>
    </row>
    <row r="127" spans="2:7" ht="13.5">
      <c r="B127" s="17" t="s">
        <v>675</v>
      </c>
      <c r="D127" s="15" t="s">
        <v>655</v>
      </c>
      <c r="E127" s="16" t="s">
        <v>645</v>
      </c>
      <c r="F127" s="2" t="s">
        <v>372</v>
      </c>
      <c r="G127" s="1" t="s">
        <v>676</v>
      </c>
    </row>
    <row r="128" ht="13.5"/>
    <row r="129" spans="2:7" ht="13.5">
      <c r="B129" s="17" t="s">
        <v>677</v>
      </c>
      <c r="D129" s="15" t="s">
        <v>663</v>
      </c>
      <c r="E129" s="16" t="s">
        <v>661</v>
      </c>
      <c r="F129" s="2" t="s">
        <v>678</v>
      </c>
      <c r="G129" s="1" t="s">
        <v>679</v>
      </c>
    </row>
    <row r="130" spans="2:7" ht="13.5">
      <c r="B130" s="17" t="s">
        <v>680</v>
      </c>
      <c r="D130" s="15" t="s">
        <v>681</v>
      </c>
      <c r="E130" s="16" t="s">
        <v>645</v>
      </c>
      <c r="F130" s="2" t="s">
        <v>678</v>
      </c>
      <c r="G130" s="1" t="s">
        <v>682</v>
      </c>
    </row>
    <row r="131" spans="2:8" ht="13.5">
      <c r="B131" s="17" t="s">
        <v>683</v>
      </c>
      <c r="D131" s="15" t="s">
        <v>644</v>
      </c>
      <c r="E131" s="16" t="s">
        <v>645</v>
      </c>
      <c r="F131" s="2" t="s">
        <v>379</v>
      </c>
      <c r="G131" s="1" t="s">
        <v>679</v>
      </c>
      <c r="H131" s="1" t="s">
        <v>684</v>
      </c>
    </row>
    <row r="132" spans="2:7" ht="13.5">
      <c r="B132" s="17" t="s">
        <v>685</v>
      </c>
      <c r="D132" s="15" t="s">
        <v>686</v>
      </c>
      <c r="E132" s="16" t="s">
        <v>687</v>
      </c>
      <c r="F132" s="2" t="s">
        <v>367</v>
      </c>
      <c r="G132" s="1" t="s">
        <v>688</v>
      </c>
    </row>
    <row r="133" spans="2:7" ht="13.5">
      <c r="B133" s="17" t="s">
        <v>524</v>
      </c>
      <c r="D133" s="15" t="s">
        <v>689</v>
      </c>
      <c r="E133" s="16" t="s">
        <v>652</v>
      </c>
      <c r="F133" s="2" t="s">
        <v>379</v>
      </c>
      <c r="G133" s="1" t="s">
        <v>690</v>
      </c>
    </row>
    <row r="134" spans="2:7" ht="13.5">
      <c r="B134" s="17" t="s">
        <v>691</v>
      </c>
      <c r="D134" s="15" t="s">
        <v>651</v>
      </c>
      <c r="E134" s="16" t="s">
        <v>703</v>
      </c>
      <c r="F134" s="2" t="s">
        <v>478</v>
      </c>
      <c r="G134" s="1" t="s">
        <v>692</v>
      </c>
    </row>
    <row r="135" spans="2:7" ht="13.5">
      <c r="B135" s="17" t="s">
        <v>701</v>
      </c>
      <c r="D135" s="15" t="s">
        <v>702</v>
      </c>
      <c r="E135" s="16" t="s">
        <v>703</v>
      </c>
      <c r="F135" s="2" t="s">
        <v>678</v>
      </c>
      <c r="G135" s="1" t="s">
        <v>704</v>
      </c>
    </row>
    <row r="136" spans="2:7" ht="13.5">
      <c r="B136" s="17" t="s">
        <v>705</v>
      </c>
      <c r="D136" s="15" t="s">
        <v>706</v>
      </c>
      <c r="E136" s="16" t="s">
        <v>703</v>
      </c>
      <c r="F136" s="2" t="s">
        <v>422</v>
      </c>
      <c r="G136" s="1" t="s">
        <v>704</v>
      </c>
    </row>
    <row r="137" spans="2:7" ht="13.5">
      <c r="B137" s="17" t="s">
        <v>707</v>
      </c>
      <c r="D137" s="15" t="s">
        <v>706</v>
      </c>
      <c r="E137" s="16" t="s">
        <v>708</v>
      </c>
      <c r="F137" s="2" t="s">
        <v>384</v>
      </c>
      <c r="G137" s="1" t="s">
        <v>704</v>
      </c>
    </row>
    <row r="138" spans="2:7" ht="13.5">
      <c r="B138" s="17" t="s">
        <v>567</v>
      </c>
      <c r="D138" s="15" t="s">
        <v>709</v>
      </c>
      <c r="E138" s="16" t="s">
        <v>710</v>
      </c>
      <c r="F138" s="2" t="s">
        <v>678</v>
      </c>
      <c r="G138" s="1" t="s">
        <v>704</v>
      </c>
    </row>
    <row r="139" spans="2:7" ht="13.5">
      <c r="B139" s="17" t="s">
        <v>711</v>
      </c>
      <c r="D139" s="15" t="s">
        <v>716</v>
      </c>
      <c r="E139" s="16" t="s">
        <v>717</v>
      </c>
      <c r="F139" s="2" t="s">
        <v>384</v>
      </c>
      <c r="G139" s="1" t="s">
        <v>704</v>
      </c>
    </row>
    <row r="140" spans="4:7" ht="13.5">
      <c r="D140" s="15" t="s">
        <v>709</v>
      </c>
      <c r="E140" s="16" t="s">
        <v>712</v>
      </c>
      <c r="F140" s="2" t="s">
        <v>384</v>
      </c>
      <c r="G140" s="1" t="s">
        <v>704</v>
      </c>
    </row>
    <row r="141" spans="2:7" ht="13.5">
      <c r="B141" s="17" t="s">
        <v>490</v>
      </c>
      <c r="D141" s="15" t="s">
        <v>718</v>
      </c>
      <c r="E141" s="16" t="s">
        <v>703</v>
      </c>
      <c r="F141" s="2" t="s">
        <v>379</v>
      </c>
      <c r="G141" s="1" t="s">
        <v>688</v>
      </c>
    </row>
    <row r="142" spans="2:7" ht="13.5">
      <c r="B142" s="17" t="s">
        <v>719</v>
      </c>
      <c r="D142" s="15" t="s">
        <v>716</v>
      </c>
      <c r="E142" s="16" t="s">
        <v>703</v>
      </c>
      <c r="F142" s="2" t="s">
        <v>532</v>
      </c>
      <c r="G142" s="1" t="s">
        <v>688</v>
      </c>
    </row>
    <row r="143" spans="2:7" ht="13.5">
      <c r="B143" s="17" t="s">
        <v>720</v>
      </c>
      <c r="D143" s="15" t="s">
        <v>721</v>
      </c>
      <c r="E143" s="16" t="s">
        <v>717</v>
      </c>
      <c r="F143" s="2" t="s">
        <v>372</v>
      </c>
      <c r="G143" s="1" t="s">
        <v>688</v>
      </c>
    </row>
    <row r="144" spans="2:7" ht="13.5">
      <c r="B144" s="17" t="s">
        <v>722</v>
      </c>
      <c r="D144" s="15" t="s">
        <v>645</v>
      </c>
      <c r="E144" s="16" t="s">
        <v>723</v>
      </c>
      <c r="F144" s="2" t="s">
        <v>428</v>
      </c>
      <c r="G144" s="1" t="s">
        <v>679</v>
      </c>
    </row>
    <row r="145" spans="2:7" ht="13.5">
      <c r="B145" s="17" t="s">
        <v>524</v>
      </c>
      <c r="D145" s="15" t="s">
        <v>718</v>
      </c>
      <c r="E145" s="16" t="s">
        <v>703</v>
      </c>
      <c r="F145" s="2" t="s">
        <v>724</v>
      </c>
      <c r="G145" s="1" t="s">
        <v>688</v>
      </c>
    </row>
    <row r="146" spans="2:7" ht="13.5">
      <c r="B146" s="17" t="s">
        <v>725</v>
      </c>
      <c r="D146" s="15" t="s">
        <v>652</v>
      </c>
      <c r="E146" s="16" t="s">
        <v>726</v>
      </c>
      <c r="F146" s="2" t="s">
        <v>532</v>
      </c>
      <c r="G146" s="1" t="s">
        <v>688</v>
      </c>
    </row>
    <row r="147" spans="2:7" ht="13.5">
      <c r="B147" s="17" t="s">
        <v>729</v>
      </c>
      <c r="D147" s="15" t="s">
        <v>716</v>
      </c>
      <c r="E147" s="16" t="s">
        <v>730</v>
      </c>
      <c r="F147" s="2" t="s">
        <v>428</v>
      </c>
      <c r="G147" s="1" t="s">
        <v>688</v>
      </c>
    </row>
    <row r="148" spans="2:7" ht="13.5">
      <c r="B148" s="17" t="s">
        <v>731</v>
      </c>
      <c r="D148" s="15" t="s">
        <v>689</v>
      </c>
      <c r="E148" s="16" t="s">
        <v>709</v>
      </c>
      <c r="F148" s="2" t="s">
        <v>372</v>
      </c>
      <c r="G148" s="1" t="s">
        <v>732</v>
      </c>
    </row>
    <row r="149" spans="2:7" ht="13.5">
      <c r="B149" s="17" t="s">
        <v>733</v>
      </c>
      <c r="D149" s="15" t="s">
        <v>710</v>
      </c>
      <c r="E149" s="16" t="s">
        <v>734</v>
      </c>
      <c r="F149" s="2" t="s">
        <v>377</v>
      </c>
      <c r="G149" s="1" t="s">
        <v>735</v>
      </c>
    </row>
    <row r="150" ht="13.5"/>
    <row r="151" ht="13.5"/>
    <row r="152" spans="2:7" ht="13.5">
      <c r="B152" s="17" t="s">
        <v>736</v>
      </c>
      <c r="D152" s="15" t="s">
        <v>737</v>
      </c>
      <c r="E152" s="16" t="s">
        <v>738</v>
      </c>
      <c r="F152" s="2" t="s">
        <v>501</v>
      </c>
      <c r="G152" s="1" t="s">
        <v>739</v>
      </c>
    </row>
    <row r="153" spans="2:7" ht="13.5">
      <c r="B153" s="17" t="s">
        <v>740</v>
      </c>
      <c r="D153" s="15" t="s">
        <v>741</v>
      </c>
      <c r="E153" s="16" t="s">
        <v>742</v>
      </c>
      <c r="F153" s="2" t="s">
        <v>372</v>
      </c>
      <c r="G153" s="1" t="s">
        <v>739</v>
      </c>
    </row>
    <row r="154" spans="2:7" ht="13.5">
      <c r="B154" s="17" t="s">
        <v>490</v>
      </c>
      <c r="D154" s="15" t="s">
        <v>743</v>
      </c>
      <c r="F154" s="2" t="s">
        <v>745</v>
      </c>
      <c r="G154" s="485" t="s">
        <v>739</v>
      </c>
    </row>
    <row r="155" spans="4:7" ht="13.5">
      <c r="D155" s="15" t="s">
        <v>744</v>
      </c>
      <c r="E155" s="16" t="s">
        <v>742</v>
      </c>
      <c r="F155" s="2" t="s">
        <v>600</v>
      </c>
      <c r="G155" s="485"/>
    </row>
    <row r="156" spans="2:7" ht="13.5">
      <c r="B156" s="17" t="s">
        <v>746</v>
      </c>
      <c r="D156" s="15" t="s">
        <v>747</v>
      </c>
      <c r="E156" s="16" t="s">
        <v>748</v>
      </c>
      <c r="F156" s="2" t="s">
        <v>565</v>
      </c>
      <c r="G156" s="1" t="s">
        <v>749</v>
      </c>
    </row>
    <row r="157" spans="2:7" ht="13.5">
      <c r="B157" s="17" t="s">
        <v>750</v>
      </c>
      <c r="D157" s="15" t="s">
        <v>709</v>
      </c>
      <c r="E157" s="16" t="s">
        <v>751</v>
      </c>
      <c r="F157" s="2" t="s">
        <v>595</v>
      </c>
      <c r="G157" s="1" t="s">
        <v>739</v>
      </c>
    </row>
    <row r="158" spans="2:7" ht="13.5">
      <c r="B158" s="17" t="s">
        <v>754</v>
      </c>
      <c r="D158" s="15" t="s">
        <v>737</v>
      </c>
      <c r="E158" s="16" t="s">
        <v>751</v>
      </c>
      <c r="F158" s="2" t="s">
        <v>755</v>
      </c>
      <c r="G158" s="1" t="s">
        <v>749</v>
      </c>
    </row>
    <row r="159" spans="2:7" ht="13.5">
      <c r="B159" s="17" t="s">
        <v>756</v>
      </c>
      <c r="D159" s="15" t="s">
        <v>723</v>
      </c>
      <c r="E159" s="16" t="s">
        <v>757</v>
      </c>
      <c r="F159" s="2" t="s">
        <v>372</v>
      </c>
      <c r="G159" s="1" t="s">
        <v>758</v>
      </c>
    </row>
    <row r="160" spans="2:7" ht="13.5">
      <c r="B160" s="17" t="s">
        <v>759</v>
      </c>
      <c r="D160" s="15" t="s">
        <v>760</v>
      </c>
      <c r="E160" s="16" t="s">
        <v>747</v>
      </c>
      <c r="F160" s="2" t="s">
        <v>678</v>
      </c>
      <c r="G160" s="1" t="s">
        <v>758</v>
      </c>
    </row>
    <row r="161" ht="13.5"/>
    <row r="162" spans="2:7" ht="13.5">
      <c r="B162" s="17" t="s">
        <v>764</v>
      </c>
      <c r="D162" s="15" t="s">
        <v>768</v>
      </c>
      <c r="E162" s="16" t="s">
        <v>765</v>
      </c>
      <c r="F162" s="2" t="s">
        <v>478</v>
      </c>
      <c r="G162" s="1" t="s">
        <v>766</v>
      </c>
    </row>
    <row r="163" spans="2:7" ht="13.5">
      <c r="B163" s="17" t="s">
        <v>767</v>
      </c>
      <c r="D163" s="15" t="s">
        <v>769</v>
      </c>
      <c r="E163" s="16" t="s">
        <v>748</v>
      </c>
      <c r="F163" s="2" t="s">
        <v>384</v>
      </c>
      <c r="G163" s="1" t="s">
        <v>766</v>
      </c>
    </row>
    <row r="164" spans="2:7" ht="13.5">
      <c r="B164" s="17" t="s">
        <v>770</v>
      </c>
      <c r="D164" s="15" t="s">
        <v>769</v>
      </c>
      <c r="E164" s="16" t="s">
        <v>771</v>
      </c>
      <c r="F164" s="2" t="s">
        <v>464</v>
      </c>
      <c r="G164" s="1" t="s">
        <v>766</v>
      </c>
    </row>
    <row r="165" spans="2:7" ht="13.5">
      <c r="B165" s="17" t="s">
        <v>772</v>
      </c>
      <c r="D165" s="15" t="s">
        <v>774</v>
      </c>
      <c r="F165" s="2" t="s">
        <v>745</v>
      </c>
      <c r="G165" s="1" t="s">
        <v>766</v>
      </c>
    </row>
    <row r="166" spans="2:7" ht="13.5">
      <c r="B166" s="17" t="s">
        <v>773</v>
      </c>
      <c r="D166" s="15" t="s">
        <v>774</v>
      </c>
      <c r="E166" s="16" t="s">
        <v>768</v>
      </c>
      <c r="F166" s="2" t="s">
        <v>384</v>
      </c>
      <c r="G166" s="1" t="s">
        <v>766</v>
      </c>
    </row>
    <row r="167" spans="2:7" ht="13.5">
      <c r="B167" s="17" t="s">
        <v>796</v>
      </c>
      <c r="D167" s="15" t="s">
        <v>775</v>
      </c>
      <c r="E167" s="16" t="s">
        <v>776</v>
      </c>
      <c r="F167" s="2" t="s">
        <v>384</v>
      </c>
      <c r="G167" s="1" t="s">
        <v>777</v>
      </c>
    </row>
    <row r="168" spans="2:7" ht="13.5">
      <c r="B168" s="17" t="s">
        <v>778</v>
      </c>
      <c r="D168" s="15" t="s">
        <v>769</v>
      </c>
      <c r="E168" s="16" t="s">
        <v>779</v>
      </c>
      <c r="F168" s="2" t="s">
        <v>478</v>
      </c>
      <c r="G168" s="1" t="s">
        <v>780</v>
      </c>
    </row>
    <row r="169" spans="2:7" ht="13.5">
      <c r="B169" s="17" t="s">
        <v>781</v>
      </c>
      <c r="D169" s="15" t="s">
        <v>769</v>
      </c>
      <c r="E169" s="16" t="s">
        <v>748</v>
      </c>
      <c r="F169" s="2" t="s">
        <v>384</v>
      </c>
      <c r="G169" s="1" t="s">
        <v>782</v>
      </c>
    </row>
    <row r="170" spans="2:7" ht="13.5">
      <c r="B170" s="17" t="s">
        <v>783</v>
      </c>
      <c r="D170" s="15" t="s">
        <v>784</v>
      </c>
      <c r="E170" s="16" t="s">
        <v>785</v>
      </c>
      <c r="F170" s="2" t="s">
        <v>384</v>
      </c>
      <c r="G170" s="1" t="s">
        <v>777</v>
      </c>
    </row>
    <row r="171" spans="2:7" ht="13.5">
      <c r="B171" s="17" t="s">
        <v>786</v>
      </c>
      <c r="D171" s="15" t="s">
        <v>787</v>
      </c>
      <c r="E171" s="16" t="s">
        <v>788</v>
      </c>
      <c r="F171" s="2" t="s">
        <v>384</v>
      </c>
      <c r="G171" s="1" t="s">
        <v>780</v>
      </c>
    </row>
    <row r="172" spans="2:7" ht="13.5">
      <c r="B172" s="17" t="s">
        <v>789</v>
      </c>
      <c r="D172" s="15" t="s">
        <v>790</v>
      </c>
      <c r="E172" s="16" t="s">
        <v>797</v>
      </c>
      <c r="F172" s="2" t="s">
        <v>791</v>
      </c>
      <c r="G172" s="1" t="s">
        <v>777</v>
      </c>
    </row>
    <row r="173" spans="2:7" ht="13.5">
      <c r="B173" s="17" t="s">
        <v>792</v>
      </c>
      <c r="D173" s="15" t="s">
        <v>768</v>
      </c>
      <c r="E173" s="16" t="s">
        <v>785</v>
      </c>
      <c r="F173" s="2" t="s">
        <v>523</v>
      </c>
      <c r="G173" s="1" t="s">
        <v>782</v>
      </c>
    </row>
    <row r="174" spans="2:7" ht="13.5">
      <c r="B174" s="17" t="s">
        <v>793</v>
      </c>
      <c r="D174" s="15" t="s">
        <v>794</v>
      </c>
      <c r="E174" s="16" t="s">
        <v>795</v>
      </c>
      <c r="F174" s="2" t="s">
        <v>384</v>
      </c>
      <c r="G174" s="1" t="s">
        <v>780</v>
      </c>
    </row>
    <row r="175" spans="2:7" ht="13.5">
      <c r="B175" s="17" t="s">
        <v>789</v>
      </c>
      <c r="D175" s="15" t="s">
        <v>790</v>
      </c>
      <c r="E175" s="16" t="s">
        <v>797</v>
      </c>
      <c r="F175" s="2" t="s">
        <v>791</v>
      </c>
      <c r="G175" s="1" t="s">
        <v>777</v>
      </c>
    </row>
    <row r="176" spans="2:7" ht="13.5">
      <c r="B176" s="17" t="s">
        <v>798</v>
      </c>
      <c r="D176" s="15" t="s">
        <v>794</v>
      </c>
      <c r="E176" s="16" t="s">
        <v>795</v>
      </c>
      <c r="F176" s="2" t="s">
        <v>384</v>
      </c>
      <c r="G176" s="1" t="s">
        <v>780</v>
      </c>
    </row>
    <row r="177" spans="2:7" ht="13.5">
      <c r="B177" s="17" t="s">
        <v>720</v>
      </c>
      <c r="D177" s="15" t="s">
        <v>774</v>
      </c>
      <c r="E177" s="16" t="s">
        <v>799</v>
      </c>
      <c r="F177" s="2" t="s">
        <v>372</v>
      </c>
      <c r="G177" s="1" t="s">
        <v>800</v>
      </c>
    </row>
    <row r="178" spans="2:7" ht="13.5">
      <c r="B178" s="17" t="s">
        <v>801</v>
      </c>
      <c r="D178" s="15" t="s">
        <v>802</v>
      </c>
      <c r="E178" s="16" t="s">
        <v>799</v>
      </c>
      <c r="F178" s="2" t="s">
        <v>384</v>
      </c>
      <c r="G178" s="1" t="s">
        <v>803</v>
      </c>
    </row>
    <row r="179" spans="2:7" ht="13.5">
      <c r="B179" s="17" t="s">
        <v>804</v>
      </c>
      <c r="D179" s="15" t="s">
        <v>785</v>
      </c>
      <c r="E179" s="16" t="s">
        <v>795</v>
      </c>
      <c r="F179" s="2" t="s">
        <v>372</v>
      </c>
      <c r="G179" s="1" t="s">
        <v>803</v>
      </c>
    </row>
    <row r="180" spans="2:7" ht="13.5">
      <c r="B180" s="17" t="s">
        <v>545</v>
      </c>
      <c r="D180" s="15" t="s">
        <v>790</v>
      </c>
      <c r="E180" s="16" t="s">
        <v>779</v>
      </c>
      <c r="F180" s="2" t="s">
        <v>379</v>
      </c>
      <c r="G180" s="1" t="s">
        <v>803</v>
      </c>
    </row>
    <row r="181" spans="2:7" ht="13.5">
      <c r="B181" s="17" t="s">
        <v>620</v>
      </c>
      <c r="D181" s="15" t="s">
        <v>769</v>
      </c>
      <c r="E181" s="16" t="s">
        <v>771</v>
      </c>
      <c r="F181" s="2" t="s">
        <v>464</v>
      </c>
      <c r="G181" s="1" t="s">
        <v>803</v>
      </c>
    </row>
    <row r="182" spans="2:7" ht="13.5">
      <c r="B182" s="17" t="s">
        <v>806</v>
      </c>
      <c r="D182" s="15" t="s">
        <v>769</v>
      </c>
      <c r="E182" s="16" t="s">
        <v>805</v>
      </c>
      <c r="F182" s="2" t="s">
        <v>372</v>
      </c>
      <c r="G182" s="1" t="s">
        <v>803</v>
      </c>
    </row>
    <row r="183" spans="2:7" ht="13.5">
      <c r="B183" s="17" t="s">
        <v>807</v>
      </c>
      <c r="D183" s="15" t="s">
        <v>805</v>
      </c>
      <c r="E183" s="16" t="s">
        <v>779</v>
      </c>
      <c r="F183" s="2" t="s">
        <v>464</v>
      </c>
      <c r="G183" s="1" t="s">
        <v>803</v>
      </c>
    </row>
    <row r="184" spans="2:7" ht="13.5">
      <c r="B184" s="17" t="s">
        <v>83</v>
      </c>
      <c r="D184" s="15" t="s">
        <v>790</v>
      </c>
      <c r="E184" s="16" t="s">
        <v>765</v>
      </c>
      <c r="F184" s="2" t="s">
        <v>384</v>
      </c>
      <c r="G184" s="1" t="s">
        <v>803</v>
      </c>
    </row>
    <row r="185" ht="13.5"/>
    <row r="186" spans="2:7" ht="13.5">
      <c r="B186" s="17" t="s">
        <v>812</v>
      </c>
      <c r="D186" s="15" t="s">
        <v>813</v>
      </c>
      <c r="E186" s="16" t="s">
        <v>814</v>
      </c>
      <c r="F186" s="2" t="s">
        <v>815</v>
      </c>
      <c r="G186" s="1" t="s">
        <v>816</v>
      </c>
    </row>
    <row r="187" spans="2:7" ht="13.5">
      <c r="B187" s="17" t="s">
        <v>817</v>
      </c>
      <c r="D187" s="15" t="s">
        <v>818</v>
      </c>
      <c r="E187" s="16" t="s">
        <v>819</v>
      </c>
      <c r="F187" s="2" t="s">
        <v>372</v>
      </c>
      <c r="G187" s="1" t="s">
        <v>816</v>
      </c>
    </row>
    <row r="188" spans="2:7" ht="13.5">
      <c r="B188" s="17" t="s">
        <v>820</v>
      </c>
      <c r="D188" s="15" t="s">
        <v>821</v>
      </c>
      <c r="E188" s="16" t="s">
        <v>814</v>
      </c>
      <c r="F188" s="2" t="s">
        <v>478</v>
      </c>
      <c r="G188" s="1" t="s">
        <v>822</v>
      </c>
    </row>
    <row r="189" spans="2:7" ht="13.5">
      <c r="B189" s="17" t="s">
        <v>823</v>
      </c>
      <c r="D189" s="15" t="s">
        <v>821</v>
      </c>
      <c r="E189" s="16" t="s">
        <v>824</v>
      </c>
      <c r="F189" s="2" t="s">
        <v>422</v>
      </c>
      <c r="G189" s="1" t="s">
        <v>822</v>
      </c>
    </row>
    <row r="190" spans="2:7" ht="13.5">
      <c r="B190" s="17" t="s">
        <v>825</v>
      </c>
      <c r="D190" s="15" t="s">
        <v>826</v>
      </c>
      <c r="E190" s="16" t="s">
        <v>824</v>
      </c>
      <c r="F190" s="2" t="s">
        <v>523</v>
      </c>
      <c r="G190" s="1" t="s">
        <v>822</v>
      </c>
    </row>
    <row r="191" spans="2:7" ht="13.5">
      <c r="B191" s="17" t="s">
        <v>674</v>
      </c>
      <c r="D191" s="15" t="s">
        <v>827</v>
      </c>
      <c r="E191" s="16" t="s">
        <v>828</v>
      </c>
      <c r="F191" s="2" t="s">
        <v>534</v>
      </c>
      <c r="G191" s="1" t="s">
        <v>822</v>
      </c>
    </row>
    <row r="192" spans="2:7" ht="13.5">
      <c r="B192" s="17" t="s">
        <v>829</v>
      </c>
      <c r="D192" s="15" t="s">
        <v>813</v>
      </c>
      <c r="E192" s="16" t="s">
        <v>830</v>
      </c>
      <c r="F192" s="2" t="s">
        <v>523</v>
      </c>
      <c r="G192" s="1" t="s">
        <v>822</v>
      </c>
    </row>
    <row r="193" spans="4:7" ht="13.5">
      <c r="D193" s="15" t="s">
        <v>831</v>
      </c>
      <c r="E193" s="16" t="s">
        <v>832</v>
      </c>
      <c r="F193" s="2" t="s">
        <v>568</v>
      </c>
      <c r="G193" s="1" t="s">
        <v>822</v>
      </c>
    </row>
    <row r="194" spans="2:7" ht="13.5">
      <c r="B194" s="17" t="s">
        <v>833</v>
      </c>
      <c r="D194" s="15" t="s">
        <v>813</v>
      </c>
      <c r="E194" s="16" t="s">
        <v>834</v>
      </c>
      <c r="F194" s="2" t="s">
        <v>384</v>
      </c>
      <c r="G194" s="1" t="s">
        <v>835</v>
      </c>
    </row>
    <row r="195" spans="2:7" ht="13.5">
      <c r="B195" s="17" t="s">
        <v>836</v>
      </c>
      <c r="D195" s="15" t="s">
        <v>837</v>
      </c>
      <c r="E195" s="16" t="s">
        <v>838</v>
      </c>
      <c r="F195" s="2" t="s">
        <v>464</v>
      </c>
      <c r="G195" s="1" t="s">
        <v>835</v>
      </c>
    </row>
    <row r="196" spans="2:7" ht="13.5">
      <c r="B196" s="17" t="s">
        <v>85</v>
      </c>
      <c r="D196" s="15" t="s">
        <v>839</v>
      </c>
      <c r="E196" s="16" t="s">
        <v>840</v>
      </c>
      <c r="F196" s="2" t="s">
        <v>478</v>
      </c>
      <c r="G196" s="1" t="s">
        <v>835</v>
      </c>
    </row>
    <row r="197" spans="2:7" ht="13.5">
      <c r="B197" s="17" t="s">
        <v>841</v>
      </c>
      <c r="D197" s="15" t="s">
        <v>821</v>
      </c>
      <c r="E197" s="16" t="s">
        <v>842</v>
      </c>
      <c r="F197" s="2" t="s">
        <v>372</v>
      </c>
      <c r="G197" s="1" t="s">
        <v>835</v>
      </c>
    </row>
    <row r="198" spans="2:7" ht="13.5">
      <c r="B198" s="17" t="s">
        <v>843</v>
      </c>
      <c r="D198" s="15" t="s">
        <v>831</v>
      </c>
      <c r="E198" s="16" t="s">
        <v>842</v>
      </c>
      <c r="F198" s="2" t="s">
        <v>483</v>
      </c>
      <c r="G198" s="1" t="s">
        <v>844</v>
      </c>
    </row>
    <row r="199" spans="2:7" ht="13.5">
      <c r="B199" s="17" t="s">
        <v>845</v>
      </c>
      <c r="D199" s="15" t="s">
        <v>846</v>
      </c>
      <c r="E199" s="16" t="s">
        <v>847</v>
      </c>
      <c r="F199" s="2">
        <v>180</v>
      </c>
      <c r="G199" s="1" t="s">
        <v>848</v>
      </c>
    </row>
    <row r="200" spans="2:7" ht="13.5">
      <c r="B200" s="17" t="s">
        <v>849</v>
      </c>
      <c r="D200" s="15" t="s">
        <v>846</v>
      </c>
      <c r="E200" s="16" t="s">
        <v>838</v>
      </c>
      <c r="F200" s="2" t="s">
        <v>850</v>
      </c>
      <c r="G200" s="1" t="s">
        <v>851</v>
      </c>
    </row>
    <row r="201" spans="2:7" ht="13.5">
      <c r="B201" s="17" t="s">
        <v>845</v>
      </c>
      <c r="D201" s="15" t="s">
        <v>846</v>
      </c>
      <c r="E201" s="16" t="s">
        <v>847</v>
      </c>
      <c r="F201" s="2" t="s">
        <v>595</v>
      </c>
      <c r="G201" s="1" t="s">
        <v>848</v>
      </c>
    </row>
    <row r="202" ht="13.5"/>
    <row r="203" spans="2:7" ht="13.5">
      <c r="B203" s="17" t="s">
        <v>863</v>
      </c>
      <c r="D203" s="15" t="s">
        <v>818</v>
      </c>
      <c r="E203" s="16" t="s">
        <v>864</v>
      </c>
      <c r="F203" s="2" t="s">
        <v>865</v>
      </c>
      <c r="G203" s="1" t="s">
        <v>866</v>
      </c>
    </row>
    <row r="204" spans="2:7" ht="13.5">
      <c r="B204" s="17" t="s">
        <v>867</v>
      </c>
      <c r="D204" s="15" t="s">
        <v>868</v>
      </c>
      <c r="E204" s="16" t="s">
        <v>869</v>
      </c>
      <c r="F204" s="2" t="s">
        <v>870</v>
      </c>
      <c r="G204" s="1" t="s">
        <v>871</v>
      </c>
    </row>
    <row r="205" spans="2:7" ht="13.5">
      <c r="B205" s="17" t="s">
        <v>872</v>
      </c>
      <c r="D205" s="15" t="s">
        <v>873</v>
      </c>
      <c r="E205" s="16" t="s">
        <v>874</v>
      </c>
      <c r="F205" s="2" t="s">
        <v>523</v>
      </c>
      <c r="G205" s="1" t="s">
        <v>871</v>
      </c>
    </row>
    <row r="206" spans="2:7" ht="13.5">
      <c r="B206" s="17" t="s">
        <v>486</v>
      </c>
      <c r="D206" s="15" t="s">
        <v>840</v>
      </c>
      <c r="E206" s="16" t="s">
        <v>819</v>
      </c>
      <c r="F206" s="2" t="s">
        <v>523</v>
      </c>
      <c r="G206" s="1" t="s">
        <v>875</v>
      </c>
    </row>
    <row r="207" spans="2:7" ht="13.5">
      <c r="B207" s="17" t="s">
        <v>876</v>
      </c>
      <c r="D207" s="15" t="s">
        <v>819</v>
      </c>
      <c r="E207" s="16" t="s">
        <v>877</v>
      </c>
      <c r="F207" s="2" t="s">
        <v>456</v>
      </c>
      <c r="G207" s="1" t="s">
        <v>878</v>
      </c>
    </row>
    <row r="208" spans="2:7" ht="13.5">
      <c r="B208" s="17" t="s">
        <v>879</v>
      </c>
      <c r="D208" s="15" t="s">
        <v>880</v>
      </c>
      <c r="E208" s="16" t="s">
        <v>881</v>
      </c>
      <c r="F208" s="2" t="s">
        <v>438</v>
      </c>
      <c r="G208" s="1" t="s">
        <v>875</v>
      </c>
    </row>
    <row r="209" spans="2:7" ht="13.5">
      <c r="B209" s="17" t="s">
        <v>84</v>
      </c>
      <c r="D209" s="15" t="s">
        <v>830</v>
      </c>
      <c r="E209" s="16" t="s">
        <v>882</v>
      </c>
      <c r="F209" s="2" t="s">
        <v>565</v>
      </c>
      <c r="G209" s="1" t="s">
        <v>875</v>
      </c>
    </row>
    <row r="210" spans="2:7" ht="13.5">
      <c r="B210" s="17" t="s">
        <v>883</v>
      </c>
      <c r="D210" s="15" t="s">
        <v>884</v>
      </c>
      <c r="E210" s="16" t="s">
        <v>885</v>
      </c>
      <c r="F210" s="2" t="s">
        <v>523</v>
      </c>
      <c r="G210" s="1" t="s">
        <v>886</v>
      </c>
    </row>
    <row r="211" spans="2:7" ht="13.5">
      <c r="B211" s="17" t="s">
        <v>887</v>
      </c>
      <c r="D211" s="15" t="s">
        <v>814</v>
      </c>
      <c r="E211" s="16" t="s">
        <v>884</v>
      </c>
      <c r="F211" s="2" t="s">
        <v>523</v>
      </c>
      <c r="G211" s="1" t="s">
        <v>866</v>
      </c>
    </row>
    <row r="212" spans="2:7" ht="13.5">
      <c r="B212" s="17" t="s">
        <v>888</v>
      </c>
      <c r="D212" s="15" t="s">
        <v>868</v>
      </c>
      <c r="E212" s="16" t="s">
        <v>819</v>
      </c>
      <c r="F212" s="2" t="s">
        <v>384</v>
      </c>
      <c r="G212" s="1" t="s">
        <v>889</v>
      </c>
    </row>
    <row r="213" spans="2:7" ht="13.5">
      <c r="B213" s="17" t="s">
        <v>662</v>
      </c>
      <c r="D213" s="15" t="s">
        <v>892</v>
      </c>
      <c r="E213" s="16" t="s">
        <v>893</v>
      </c>
      <c r="F213" s="2" t="s">
        <v>483</v>
      </c>
      <c r="G213" s="1" t="s">
        <v>894</v>
      </c>
    </row>
    <row r="214" spans="2:7" ht="13.5">
      <c r="B214" s="17" t="s">
        <v>895</v>
      </c>
      <c r="D214" s="15" t="s">
        <v>896</v>
      </c>
      <c r="E214" s="16" t="s">
        <v>897</v>
      </c>
      <c r="F214" s="2" t="s">
        <v>898</v>
      </c>
      <c r="G214" s="1" t="s">
        <v>899</v>
      </c>
    </row>
    <row r="215" ht="13.5"/>
    <row r="216" spans="2:7" ht="13.5">
      <c r="B216" s="17" t="s">
        <v>912</v>
      </c>
      <c r="D216" s="15" t="s">
        <v>913</v>
      </c>
      <c r="E216" s="16" t="s">
        <v>914</v>
      </c>
      <c r="F216" s="2" t="s">
        <v>464</v>
      </c>
      <c r="G216" s="1" t="s">
        <v>915</v>
      </c>
    </row>
    <row r="217" spans="2:7" ht="13.5">
      <c r="B217" s="17" t="s">
        <v>916</v>
      </c>
      <c r="D217" s="15" t="s">
        <v>913</v>
      </c>
      <c r="E217" s="16" t="s">
        <v>917</v>
      </c>
      <c r="G217" s="1" t="s">
        <v>918</v>
      </c>
    </row>
    <row r="218" spans="2:7" ht="13.5">
      <c r="B218" s="17" t="s">
        <v>620</v>
      </c>
      <c r="D218" s="15" t="s">
        <v>919</v>
      </c>
      <c r="E218" s="16" t="s">
        <v>920</v>
      </c>
      <c r="F218" s="2" t="s">
        <v>791</v>
      </c>
      <c r="G218" s="1" t="s">
        <v>921</v>
      </c>
    </row>
    <row r="219" spans="2:7" ht="13.5">
      <c r="B219" s="17" t="s">
        <v>922</v>
      </c>
      <c r="D219" s="15" t="s">
        <v>923</v>
      </c>
      <c r="E219" s="16" t="s">
        <v>924</v>
      </c>
      <c r="F219" s="2" t="s">
        <v>384</v>
      </c>
      <c r="G219" s="1" t="s">
        <v>925</v>
      </c>
    </row>
    <row r="220" spans="2:7" ht="13.5">
      <c r="B220" s="17" t="s">
        <v>926</v>
      </c>
      <c r="D220" s="15" t="s">
        <v>927</v>
      </c>
      <c r="E220" s="16" t="s">
        <v>939</v>
      </c>
      <c r="F220" s="2" t="s">
        <v>928</v>
      </c>
      <c r="G220" s="1" t="s">
        <v>929</v>
      </c>
    </row>
    <row r="221" spans="2:7" ht="13.5">
      <c r="B221" s="17" t="s">
        <v>930</v>
      </c>
      <c r="D221" s="15" t="s">
        <v>931</v>
      </c>
      <c r="E221" s="16" t="s">
        <v>897</v>
      </c>
      <c r="F221" s="2" t="s">
        <v>438</v>
      </c>
      <c r="G221" s="1" t="s">
        <v>932</v>
      </c>
    </row>
    <row r="222" spans="2:7" ht="13.5">
      <c r="B222" s="17" t="s">
        <v>933</v>
      </c>
      <c r="D222" s="15" t="s">
        <v>923</v>
      </c>
      <c r="E222" s="16" t="s">
        <v>927</v>
      </c>
      <c r="F222" s="2" t="s">
        <v>532</v>
      </c>
      <c r="G222" s="1" t="s">
        <v>925</v>
      </c>
    </row>
    <row r="223" spans="2:7" ht="13.5">
      <c r="B223" s="17" t="s">
        <v>801</v>
      </c>
      <c r="D223" s="15" t="s">
        <v>934</v>
      </c>
      <c r="E223" s="16" t="s">
        <v>935</v>
      </c>
      <c r="F223" s="2" t="s">
        <v>523</v>
      </c>
      <c r="G223" s="1" t="s">
        <v>925</v>
      </c>
    </row>
    <row r="224" spans="2:7" ht="13.5">
      <c r="B224" s="17" t="s">
        <v>936</v>
      </c>
      <c r="D224" s="15" t="s">
        <v>923</v>
      </c>
      <c r="E224" s="16" t="s">
        <v>937</v>
      </c>
      <c r="F224" s="2" t="s">
        <v>464</v>
      </c>
      <c r="G224" s="1" t="s">
        <v>932</v>
      </c>
    </row>
    <row r="225" spans="2:7" ht="13.5">
      <c r="B225" s="17" t="s">
        <v>938</v>
      </c>
      <c r="D225" s="15" t="s">
        <v>892</v>
      </c>
      <c r="E225" s="16" t="s">
        <v>893</v>
      </c>
      <c r="F225" s="2" t="s">
        <v>483</v>
      </c>
      <c r="G225" s="1" t="s">
        <v>894</v>
      </c>
    </row>
    <row r="226" ht="13.5"/>
    <row r="227" spans="2:7" ht="13.5">
      <c r="B227" s="17" t="s">
        <v>624</v>
      </c>
      <c r="D227" s="15" t="s">
        <v>934</v>
      </c>
      <c r="E227" s="16" t="s">
        <v>935</v>
      </c>
      <c r="F227" s="2" t="s">
        <v>523</v>
      </c>
      <c r="G227" s="1" t="s">
        <v>940</v>
      </c>
    </row>
    <row r="228" spans="2:7" ht="13.5">
      <c r="B228" s="17" t="s">
        <v>941</v>
      </c>
      <c r="D228" s="15" t="s">
        <v>913</v>
      </c>
      <c r="E228" s="16" t="s">
        <v>942</v>
      </c>
      <c r="F228" s="2" t="s">
        <v>595</v>
      </c>
      <c r="G228" s="1" t="s">
        <v>940</v>
      </c>
    </row>
    <row r="229" spans="2:7" ht="13.5">
      <c r="B229" s="17" t="s">
        <v>943</v>
      </c>
      <c r="D229" s="15" t="s">
        <v>893</v>
      </c>
      <c r="E229" s="16" t="s">
        <v>944</v>
      </c>
      <c r="F229" s="2" t="s">
        <v>372</v>
      </c>
      <c r="G229" s="1" t="s">
        <v>940</v>
      </c>
    </row>
    <row r="230" spans="2:7" ht="13.5">
      <c r="B230" s="17" t="s">
        <v>798</v>
      </c>
      <c r="D230" s="15" t="s">
        <v>897</v>
      </c>
      <c r="E230" s="16" t="s">
        <v>945</v>
      </c>
      <c r="F230" s="2" t="s">
        <v>372</v>
      </c>
      <c r="G230" s="1" t="s">
        <v>946</v>
      </c>
    </row>
    <row r="231" spans="2:7" ht="13.5">
      <c r="B231" s="17" t="s">
        <v>947</v>
      </c>
      <c r="D231" s="15" t="s">
        <v>934</v>
      </c>
      <c r="E231" s="16" t="s">
        <v>948</v>
      </c>
      <c r="F231" s="2" t="s">
        <v>372</v>
      </c>
      <c r="G231" s="1" t="s">
        <v>946</v>
      </c>
    </row>
    <row r="232" spans="2:7" ht="13.5">
      <c r="B232" s="17" t="s">
        <v>949</v>
      </c>
      <c r="D232" s="15" t="s">
        <v>869</v>
      </c>
      <c r="E232" s="16" t="s">
        <v>934</v>
      </c>
      <c r="F232" s="2" t="s">
        <v>372</v>
      </c>
      <c r="G232" s="1" t="s">
        <v>946</v>
      </c>
    </row>
    <row r="233" spans="2:7" ht="13.5">
      <c r="B233" s="17" t="s">
        <v>535</v>
      </c>
      <c r="D233" s="15" t="s">
        <v>924</v>
      </c>
      <c r="E233" s="16" t="s">
        <v>954</v>
      </c>
      <c r="F233" s="2" t="s">
        <v>428</v>
      </c>
      <c r="G233" s="1" t="s">
        <v>955</v>
      </c>
    </row>
    <row r="234" spans="2:7" ht="13.5">
      <c r="B234" s="17" t="s">
        <v>956</v>
      </c>
      <c r="D234" s="15" t="s">
        <v>957</v>
      </c>
      <c r="E234" s="16" t="s">
        <v>958</v>
      </c>
      <c r="F234" s="2" t="s">
        <v>372</v>
      </c>
      <c r="G234" s="1" t="s">
        <v>959</v>
      </c>
    </row>
    <row r="235" spans="2:7" ht="13.5">
      <c r="B235" s="17" t="s">
        <v>633</v>
      </c>
      <c r="D235" s="15" t="s">
        <v>960</v>
      </c>
      <c r="E235" s="16" t="s">
        <v>961</v>
      </c>
      <c r="F235" s="2" t="s">
        <v>464</v>
      </c>
      <c r="G235" s="1" t="s">
        <v>959</v>
      </c>
    </row>
    <row r="236" spans="2:7" ht="13.5">
      <c r="B236" s="17" t="s">
        <v>910</v>
      </c>
      <c r="D236" s="15" t="s">
        <v>962</v>
      </c>
      <c r="E236" s="16" t="s">
        <v>963</v>
      </c>
      <c r="F236" s="2" t="s">
        <v>964</v>
      </c>
      <c r="G236" s="1" t="s">
        <v>959</v>
      </c>
    </row>
    <row r="237" spans="2:7" ht="13.5">
      <c r="B237" s="17" t="s">
        <v>965</v>
      </c>
      <c r="D237" s="15" t="s">
        <v>966</v>
      </c>
      <c r="E237" s="16" t="s">
        <v>967</v>
      </c>
      <c r="F237" s="2" t="s">
        <v>595</v>
      </c>
      <c r="G237" s="1" t="s">
        <v>959</v>
      </c>
    </row>
    <row r="238" spans="2:7" ht="13.5">
      <c r="B238" s="17" t="s">
        <v>968</v>
      </c>
      <c r="D238" s="15" t="s">
        <v>960</v>
      </c>
      <c r="E238" s="16" t="s">
        <v>969</v>
      </c>
      <c r="F238" s="2" t="s">
        <v>384</v>
      </c>
      <c r="G238" s="1" t="s">
        <v>959</v>
      </c>
    </row>
    <row r="239" spans="2:7" ht="13.5">
      <c r="B239" s="17" t="s">
        <v>970</v>
      </c>
      <c r="D239" s="15" t="s">
        <v>920</v>
      </c>
      <c r="E239" s="16" t="s">
        <v>961</v>
      </c>
      <c r="F239" s="2" t="s">
        <v>372</v>
      </c>
      <c r="G239" s="1" t="s">
        <v>959</v>
      </c>
    </row>
    <row r="240" spans="2:7" ht="13.5">
      <c r="B240" s="17" t="s">
        <v>971</v>
      </c>
      <c r="D240" s="15" t="s">
        <v>957</v>
      </c>
      <c r="E240" s="16" t="s">
        <v>963</v>
      </c>
      <c r="F240" s="2" t="s">
        <v>483</v>
      </c>
      <c r="G240" s="1" t="s">
        <v>972</v>
      </c>
    </row>
    <row r="241" spans="2:7" ht="13.5">
      <c r="B241" s="17" t="s">
        <v>973</v>
      </c>
      <c r="D241" s="15" t="s">
        <v>975</v>
      </c>
      <c r="E241" s="16" t="s">
        <v>976</v>
      </c>
      <c r="F241" s="2" t="s">
        <v>977</v>
      </c>
      <c r="G241" s="1" t="s">
        <v>972</v>
      </c>
    </row>
    <row r="242" spans="2:7" ht="13.5">
      <c r="B242" s="17" t="s">
        <v>978</v>
      </c>
      <c r="D242" s="15" t="s">
        <v>974</v>
      </c>
      <c r="E242" s="16" t="s">
        <v>979</v>
      </c>
      <c r="F242" s="2" t="s">
        <v>464</v>
      </c>
      <c r="G242" s="1" t="s">
        <v>972</v>
      </c>
    </row>
    <row r="243" spans="2:7" ht="13.5">
      <c r="B243" s="17" t="s">
        <v>980</v>
      </c>
      <c r="D243" s="15" t="s">
        <v>961</v>
      </c>
      <c r="E243" s="16" t="s">
        <v>981</v>
      </c>
      <c r="F243" s="2" t="s">
        <v>982</v>
      </c>
      <c r="G243" s="1" t="s">
        <v>972</v>
      </c>
    </row>
    <row r="244" spans="2:7" ht="13.5">
      <c r="B244" s="17" t="s">
        <v>984</v>
      </c>
      <c r="D244" s="15" t="s">
        <v>969</v>
      </c>
      <c r="E244" s="16" t="s">
        <v>958</v>
      </c>
      <c r="F244" s="2" t="s">
        <v>372</v>
      </c>
      <c r="G244" s="1" t="s">
        <v>985</v>
      </c>
    </row>
    <row r="245" spans="2:7" ht="13.5">
      <c r="B245" s="17" t="s">
        <v>986</v>
      </c>
      <c r="D245" s="15" t="s">
        <v>958</v>
      </c>
      <c r="E245" s="16" t="s">
        <v>987</v>
      </c>
      <c r="F245" s="2" t="s">
        <v>988</v>
      </c>
      <c r="G245" s="1" t="s">
        <v>985</v>
      </c>
    </row>
    <row r="246" spans="2:7" ht="13.5">
      <c r="B246" s="17" t="s">
        <v>398</v>
      </c>
      <c r="D246" s="15" t="s">
        <v>989</v>
      </c>
      <c r="E246" s="16" t="s">
        <v>990</v>
      </c>
      <c r="F246" s="2" t="s">
        <v>991</v>
      </c>
      <c r="G246" s="1" t="s">
        <v>985</v>
      </c>
    </row>
    <row r="247" spans="2:6" ht="13.5">
      <c r="B247" s="17" t="s">
        <v>992</v>
      </c>
      <c r="D247" s="15" t="s">
        <v>989</v>
      </c>
      <c r="E247" s="16" t="s">
        <v>993</v>
      </c>
      <c r="F247" s="2" t="s">
        <v>456</v>
      </c>
    </row>
    <row r="248" spans="2:6" ht="13.5">
      <c r="B248" s="17" t="s">
        <v>994</v>
      </c>
      <c r="D248" s="15" t="s">
        <v>954</v>
      </c>
      <c r="E248" s="16" t="s">
        <v>995</v>
      </c>
      <c r="F248" s="2" t="s">
        <v>456</v>
      </c>
    </row>
    <row r="249" spans="2:6" ht="13.5">
      <c r="B249" s="17" t="s">
        <v>996</v>
      </c>
      <c r="D249" s="15" t="s">
        <v>954</v>
      </c>
      <c r="E249" s="16" t="s">
        <v>989</v>
      </c>
      <c r="F249" s="2" t="s">
        <v>664</v>
      </c>
    </row>
    <row r="250" spans="2:6" ht="13.5">
      <c r="B250" s="17" t="s">
        <v>997</v>
      </c>
      <c r="D250" s="15" t="s">
        <v>998</v>
      </c>
      <c r="E250" s="16" t="s">
        <v>963</v>
      </c>
      <c r="F250" s="2" t="s">
        <v>999</v>
      </c>
    </row>
    <row r="251" spans="2:6" ht="13.5">
      <c r="B251" s="17" t="s">
        <v>1000</v>
      </c>
      <c r="D251" s="15" t="s">
        <v>1001</v>
      </c>
      <c r="E251" s="16" t="s">
        <v>1002</v>
      </c>
      <c r="F251" s="2" t="s">
        <v>595</v>
      </c>
    </row>
    <row r="252" spans="2:6" ht="13.5">
      <c r="B252" s="17" t="s">
        <v>1003</v>
      </c>
      <c r="D252" s="15" t="s">
        <v>1001</v>
      </c>
      <c r="E252" s="16" t="s">
        <v>1004</v>
      </c>
      <c r="F252" s="2" t="s">
        <v>1005</v>
      </c>
    </row>
    <row r="253" spans="2:6" ht="13.5">
      <c r="B253" s="17" t="s">
        <v>535</v>
      </c>
      <c r="D253" s="15" t="s">
        <v>981</v>
      </c>
      <c r="E253" s="16" t="s">
        <v>963</v>
      </c>
      <c r="F253" s="2" t="s">
        <v>372</v>
      </c>
    </row>
    <row r="254" spans="2:6" ht="13.5">
      <c r="B254" s="17" t="s">
        <v>1006</v>
      </c>
      <c r="D254" s="15" t="s">
        <v>1007</v>
      </c>
      <c r="E254" s="16" t="s">
        <v>958</v>
      </c>
      <c r="F254" s="2" t="s">
        <v>532</v>
      </c>
    </row>
    <row r="255" spans="2:6" ht="13.5">
      <c r="B255" s="17" t="s">
        <v>458</v>
      </c>
      <c r="D255" s="15" t="s">
        <v>1008</v>
      </c>
      <c r="E255" s="16" t="s">
        <v>1009</v>
      </c>
      <c r="F255" s="2" t="s">
        <v>1010</v>
      </c>
    </row>
    <row r="256" spans="2:6" ht="13.5">
      <c r="B256" s="17" t="s">
        <v>1011</v>
      </c>
      <c r="D256" s="15" t="s">
        <v>979</v>
      </c>
      <c r="E256" s="16" t="s">
        <v>958</v>
      </c>
      <c r="F256" s="2" t="s">
        <v>464</v>
      </c>
    </row>
    <row r="257" spans="2:6" ht="13.5">
      <c r="B257" s="17" t="s">
        <v>1012</v>
      </c>
      <c r="D257" s="15" t="s">
        <v>1013</v>
      </c>
      <c r="E257" s="16" t="s">
        <v>1014</v>
      </c>
      <c r="F257" s="2" t="s">
        <v>403</v>
      </c>
    </row>
    <row r="258" spans="2:6" ht="13.5">
      <c r="B258" s="17" t="s">
        <v>1015</v>
      </c>
      <c r="D258" s="15" t="s">
        <v>998</v>
      </c>
      <c r="E258" s="16" t="s">
        <v>1016</v>
      </c>
      <c r="F258" s="2" t="s">
        <v>1017</v>
      </c>
    </row>
    <row r="259" spans="2:6" ht="13.5">
      <c r="B259" s="17" t="s">
        <v>1018</v>
      </c>
      <c r="D259" s="15" t="s">
        <v>1019</v>
      </c>
      <c r="E259" s="16" t="s">
        <v>958</v>
      </c>
      <c r="F259" s="2" t="s">
        <v>1020</v>
      </c>
    </row>
    <row r="260" spans="2:5" ht="13.5">
      <c r="B260" s="17" t="s">
        <v>1022</v>
      </c>
      <c r="D260" s="15" t="s">
        <v>998</v>
      </c>
      <c r="E260" s="16" t="s">
        <v>1021</v>
      </c>
    </row>
    <row r="261" spans="2:5" ht="13.5">
      <c r="B261" s="17" t="s">
        <v>1023</v>
      </c>
      <c r="D261" s="15" t="s">
        <v>974</v>
      </c>
      <c r="E261" s="16" t="s">
        <v>1024</v>
      </c>
    </row>
    <row r="262" spans="2:5" ht="13.5">
      <c r="B262" s="17" t="s">
        <v>494</v>
      </c>
      <c r="D262" s="15" t="s">
        <v>1025</v>
      </c>
      <c r="E262" s="16" t="s">
        <v>963</v>
      </c>
    </row>
    <row r="263" ht="13.5"/>
    <row r="264" spans="2:6" ht="13.5">
      <c r="B264" s="17" t="s">
        <v>518</v>
      </c>
      <c r="D264" s="15" t="s">
        <v>1024</v>
      </c>
      <c r="E264" s="16" t="s">
        <v>995</v>
      </c>
      <c r="F264" s="2" t="s">
        <v>501</v>
      </c>
    </row>
    <row r="265" spans="2:6" ht="13.5">
      <c r="B265" s="17" t="s">
        <v>1029</v>
      </c>
      <c r="D265" s="15" t="s">
        <v>1030</v>
      </c>
      <c r="E265" s="16" t="s">
        <v>1031</v>
      </c>
      <c r="F265" s="2" t="s">
        <v>523</v>
      </c>
    </row>
    <row r="266" spans="2:6" ht="13.5">
      <c r="B266" s="17" t="s">
        <v>1032</v>
      </c>
      <c r="D266" s="15" t="s">
        <v>1033</v>
      </c>
      <c r="E266" s="16" t="s">
        <v>1034</v>
      </c>
      <c r="F266" s="2" t="s">
        <v>1035</v>
      </c>
    </row>
    <row r="267" spans="2:6" ht="13.5">
      <c r="B267" s="17" t="s">
        <v>719</v>
      </c>
      <c r="D267" s="15" t="s">
        <v>1004</v>
      </c>
      <c r="E267" s="16" t="s">
        <v>1036</v>
      </c>
      <c r="F267" s="2" t="s">
        <v>403</v>
      </c>
    </row>
    <row r="268" spans="2:6" ht="13.5">
      <c r="B268" s="17" t="s">
        <v>1037</v>
      </c>
      <c r="D268" s="15" t="s">
        <v>1038</v>
      </c>
      <c r="E268" s="16" t="s">
        <v>1039</v>
      </c>
      <c r="F268" s="2" t="s">
        <v>1040</v>
      </c>
    </row>
    <row r="269" spans="2:6" ht="13.5">
      <c r="B269" s="17" t="s">
        <v>1041</v>
      </c>
      <c r="D269" s="15" t="s">
        <v>990</v>
      </c>
      <c r="E269" s="16" t="s">
        <v>1042</v>
      </c>
      <c r="F269" s="2" t="s">
        <v>600</v>
      </c>
    </row>
    <row r="270" spans="2:6" ht="13.5">
      <c r="B270" s="17" t="s">
        <v>1043</v>
      </c>
      <c r="D270" s="15" t="s">
        <v>1044</v>
      </c>
      <c r="E270" s="16" t="s">
        <v>1045</v>
      </c>
      <c r="F270" s="2" t="s">
        <v>464</v>
      </c>
    </row>
    <row r="271" spans="2:6" ht="13.5">
      <c r="B271" s="17" t="s">
        <v>841</v>
      </c>
      <c r="D271" s="15" t="s">
        <v>1007</v>
      </c>
      <c r="E271" s="16" t="s">
        <v>1046</v>
      </c>
      <c r="F271" s="2" t="s">
        <v>384</v>
      </c>
    </row>
    <row r="272" spans="2:6" ht="13.5">
      <c r="B272" s="17" t="s">
        <v>1047</v>
      </c>
      <c r="D272" s="15" t="s">
        <v>1016</v>
      </c>
      <c r="E272" s="16" t="s">
        <v>995</v>
      </c>
      <c r="F272" s="2" t="s">
        <v>384</v>
      </c>
    </row>
    <row r="273" spans="2:6" ht="13.5">
      <c r="B273" s="17" t="s">
        <v>793</v>
      </c>
      <c r="D273" s="15" t="s">
        <v>1014</v>
      </c>
      <c r="E273" s="16" t="s">
        <v>1048</v>
      </c>
      <c r="F273" s="2" t="s">
        <v>600</v>
      </c>
    </row>
    <row r="274" spans="2:6" ht="13.5">
      <c r="B274" s="17" t="s">
        <v>1049</v>
      </c>
      <c r="D274" s="15" t="s">
        <v>1050</v>
      </c>
      <c r="E274" s="16" t="s">
        <v>1046</v>
      </c>
      <c r="F274" s="2" t="s">
        <v>464</v>
      </c>
    </row>
    <row r="275" spans="2:6" ht="13.5">
      <c r="B275" s="17" t="s">
        <v>1051</v>
      </c>
      <c r="D275" s="15" t="s">
        <v>1042</v>
      </c>
      <c r="E275" s="16" t="s">
        <v>1052</v>
      </c>
      <c r="F275" s="2" t="s">
        <v>456</v>
      </c>
    </row>
    <row r="276" spans="2:6" ht="13.5">
      <c r="B276" s="17" t="s">
        <v>1053</v>
      </c>
      <c r="D276" s="15" t="s">
        <v>1042</v>
      </c>
      <c r="E276" s="16" t="s">
        <v>1054</v>
      </c>
      <c r="F276" s="2" t="s">
        <v>384</v>
      </c>
    </row>
    <row r="277" ht="13.5"/>
    <row r="278" spans="2:6" ht="13.5">
      <c r="B278" s="17" t="s">
        <v>1059</v>
      </c>
      <c r="D278" s="15" t="s">
        <v>1044</v>
      </c>
      <c r="E278" s="16" t="s">
        <v>1058</v>
      </c>
      <c r="F278" s="2" t="s">
        <v>791</v>
      </c>
    </row>
    <row r="279" spans="2:6" ht="13.5">
      <c r="B279" s="17" t="s">
        <v>1060</v>
      </c>
      <c r="D279" s="15" t="s">
        <v>1044</v>
      </c>
      <c r="E279" s="16" t="s">
        <v>1058</v>
      </c>
      <c r="F279" s="2" t="s">
        <v>791</v>
      </c>
    </row>
    <row r="280" spans="2:6" ht="13.5">
      <c r="B280" s="17" t="s">
        <v>1061</v>
      </c>
      <c r="D280" s="15" t="s">
        <v>1004</v>
      </c>
      <c r="E280" s="16" t="s">
        <v>1048</v>
      </c>
      <c r="F280" s="2" t="s">
        <v>977</v>
      </c>
    </row>
    <row r="281" spans="2:6" ht="13.5">
      <c r="B281" s="17" t="s">
        <v>683</v>
      </c>
      <c r="D281" s="15" t="s">
        <v>1044</v>
      </c>
      <c r="E281" s="16" t="s">
        <v>1062</v>
      </c>
      <c r="F281" s="2" t="s">
        <v>483</v>
      </c>
    </row>
    <row r="282" spans="2:5" ht="13.5">
      <c r="B282" s="17" t="s">
        <v>1063</v>
      </c>
      <c r="D282" s="15" t="s">
        <v>1025</v>
      </c>
      <c r="E282" s="16" t="s">
        <v>1064</v>
      </c>
    </row>
    <row r="283" spans="2:5" ht="13.5">
      <c r="B283" s="17" t="s">
        <v>1065</v>
      </c>
      <c r="D283" s="15" t="s">
        <v>1066</v>
      </c>
      <c r="E283" s="16" t="s">
        <v>1067</v>
      </c>
    </row>
    <row r="284" spans="2:5" ht="13.5">
      <c r="B284" s="17" t="s">
        <v>971</v>
      </c>
      <c r="D284" s="15" t="s">
        <v>1044</v>
      </c>
      <c r="E284" s="16" t="s">
        <v>1068</v>
      </c>
    </row>
    <row r="285" spans="2:5" ht="13.5">
      <c r="B285" s="17" t="s">
        <v>535</v>
      </c>
      <c r="D285" s="15" t="s">
        <v>1038</v>
      </c>
      <c r="E285" s="16" t="s">
        <v>1069</v>
      </c>
    </row>
    <row r="286" spans="2:5" ht="13.5">
      <c r="B286" s="17" t="s">
        <v>1076</v>
      </c>
      <c r="D286" s="15" t="s">
        <v>1077</v>
      </c>
      <c r="E286" s="16" t="s">
        <v>1044</v>
      </c>
    </row>
    <row r="287" spans="2:5" ht="13.5">
      <c r="B287" s="17" t="s">
        <v>1078</v>
      </c>
      <c r="D287" s="15" t="s">
        <v>1031</v>
      </c>
      <c r="E287" s="16" t="s">
        <v>1079</v>
      </c>
    </row>
    <row r="288" spans="2:5" ht="13.5">
      <c r="B288" s="17" t="s">
        <v>1080</v>
      </c>
      <c r="D288" s="15" t="s">
        <v>1024</v>
      </c>
      <c r="E288" s="16" t="s">
        <v>1079</v>
      </c>
    </row>
    <row r="289" spans="2:5" ht="13.5">
      <c r="B289" s="17" t="s">
        <v>823</v>
      </c>
      <c r="D289" s="15" t="s">
        <v>1048</v>
      </c>
      <c r="E289" s="16" t="s">
        <v>1082</v>
      </c>
    </row>
    <row r="290" spans="2:5" ht="13.5">
      <c r="B290" s="17" t="s">
        <v>1083</v>
      </c>
      <c r="D290" s="15" t="s">
        <v>1045</v>
      </c>
      <c r="E290" s="16" t="s">
        <v>1084</v>
      </c>
    </row>
    <row r="291" spans="2:5" ht="13.5">
      <c r="B291" s="17" t="s">
        <v>1085</v>
      </c>
      <c r="D291" s="15" t="s">
        <v>1086</v>
      </c>
      <c r="E291" s="16" t="s">
        <v>1045</v>
      </c>
    </row>
    <row r="292" spans="2:5" ht="13.5">
      <c r="B292" s="17" t="s">
        <v>1087</v>
      </c>
      <c r="D292" s="15" t="s">
        <v>1088</v>
      </c>
      <c r="E292" s="16" t="s">
        <v>1058</v>
      </c>
    </row>
    <row r="293" spans="2:5" ht="13.5">
      <c r="B293" s="17" t="s">
        <v>680</v>
      </c>
      <c r="D293" s="15" t="s">
        <v>1069</v>
      </c>
      <c r="E293" s="16" t="s">
        <v>1068</v>
      </c>
    </row>
    <row r="294" ht="13.5"/>
    <row r="295" ht="13.5"/>
    <row r="296" spans="2:5" ht="13.5">
      <c r="B296" s="17" t="s">
        <v>1090</v>
      </c>
      <c r="D296" s="15" t="s">
        <v>1091</v>
      </c>
      <c r="E296" s="16" t="s">
        <v>1092</v>
      </c>
    </row>
    <row r="297" spans="2:5" ht="13.5">
      <c r="B297" s="17" t="s">
        <v>1093</v>
      </c>
      <c r="D297" s="15" t="s">
        <v>1069</v>
      </c>
      <c r="E297" s="16" t="s">
        <v>1079</v>
      </c>
    </row>
    <row r="298" spans="2:5" ht="13.5">
      <c r="B298" s="17" t="s">
        <v>521</v>
      </c>
      <c r="D298" s="15" t="s">
        <v>1036</v>
      </c>
      <c r="E298" s="16" t="s">
        <v>1094</v>
      </c>
    </row>
    <row r="299" spans="2:5" ht="13.5">
      <c r="B299" s="17" t="s">
        <v>1095</v>
      </c>
      <c r="D299" s="15" t="s">
        <v>1096</v>
      </c>
      <c r="E299" s="16" t="s">
        <v>1097</v>
      </c>
    </row>
    <row r="300" spans="2:5" ht="13.5">
      <c r="B300" s="17" t="s">
        <v>1098</v>
      </c>
      <c r="D300" s="15" t="s">
        <v>1099</v>
      </c>
      <c r="E300" s="16" t="s">
        <v>1100</v>
      </c>
    </row>
    <row r="301" spans="2:5" ht="13.5">
      <c r="B301" s="17" t="s">
        <v>1093</v>
      </c>
      <c r="D301" s="15" t="s">
        <v>1091</v>
      </c>
      <c r="E301" s="16" t="s">
        <v>1101</v>
      </c>
    </row>
    <row r="302" spans="2:6" ht="13.5">
      <c r="B302" s="17" t="s">
        <v>1102</v>
      </c>
      <c r="D302" s="15" t="s">
        <v>1103</v>
      </c>
      <c r="E302" s="16" t="s">
        <v>1104</v>
      </c>
      <c r="F302" s="2" t="s">
        <v>1105</v>
      </c>
    </row>
    <row r="303" spans="2:5" ht="13.5">
      <c r="B303" s="17" t="s">
        <v>1106</v>
      </c>
      <c r="D303" s="15" t="s">
        <v>1107</v>
      </c>
      <c r="E303" s="16" t="s">
        <v>1108</v>
      </c>
    </row>
    <row r="304" spans="2:5" ht="13.5">
      <c r="B304" s="17" t="s">
        <v>1109</v>
      </c>
      <c r="C304" s="4" t="s">
        <v>313</v>
      </c>
      <c r="D304" s="15" t="s">
        <v>1103</v>
      </c>
      <c r="E304" s="16" t="s">
        <v>1110</v>
      </c>
    </row>
    <row r="305" spans="2:5" ht="13.5">
      <c r="B305" s="17" t="s">
        <v>1049</v>
      </c>
      <c r="D305" s="15" t="s">
        <v>1111</v>
      </c>
      <c r="E305" s="16" t="s">
        <v>1039</v>
      </c>
    </row>
    <row r="306" spans="2:5" ht="13.5">
      <c r="B306" s="17" t="s">
        <v>1112</v>
      </c>
      <c r="D306" s="15" t="s">
        <v>1113</v>
      </c>
      <c r="E306" s="16" t="s">
        <v>1052</v>
      </c>
    </row>
    <row r="307" spans="2:5" ht="13.5">
      <c r="B307" s="17" t="s">
        <v>1114</v>
      </c>
      <c r="D307" s="15" t="s">
        <v>1103</v>
      </c>
      <c r="E307" s="16" t="s">
        <v>1115</v>
      </c>
    </row>
    <row r="308" spans="2:5" ht="13.5">
      <c r="B308" s="17" t="s">
        <v>1116</v>
      </c>
      <c r="D308" s="15" t="s">
        <v>1091</v>
      </c>
      <c r="E308" s="16" t="s">
        <v>1117</v>
      </c>
    </row>
    <row r="309" spans="2:5" ht="13.5">
      <c r="B309" s="17" t="s">
        <v>1120</v>
      </c>
      <c r="D309" s="15" t="s">
        <v>1121</v>
      </c>
      <c r="E309" s="16" t="s">
        <v>1122</v>
      </c>
    </row>
    <row r="310" spans="2:5" ht="13.5">
      <c r="B310" s="17" t="s">
        <v>1123</v>
      </c>
      <c r="D310" s="15" t="s">
        <v>1124</v>
      </c>
      <c r="E310" s="16" t="s">
        <v>1125</v>
      </c>
    </row>
    <row r="311" spans="2:5" ht="13.5">
      <c r="B311" s="17" t="s">
        <v>680</v>
      </c>
      <c r="D311" s="15" t="s">
        <v>1126</v>
      </c>
      <c r="E311" s="16" t="s">
        <v>1127</v>
      </c>
    </row>
    <row r="312" spans="2:5" ht="13.5">
      <c r="B312" s="17" t="s">
        <v>841</v>
      </c>
      <c r="D312" s="15" t="s">
        <v>1103</v>
      </c>
      <c r="E312" s="16" t="s">
        <v>1128</v>
      </c>
    </row>
    <row r="313" spans="2:5" ht="13.5">
      <c r="B313" s="17" t="s">
        <v>823</v>
      </c>
      <c r="D313" s="15" t="s">
        <v>1129</v>
      </c>
      <c r="E313" s="16" t="s">
        <v>1130</v>
      </c>
    </row>
    <row r="314" spans="2:5" ht="13.5">
      <c r="B314" s="17" t="s">
        <v>911</v>
      </c>
      <c r="D314" s="15" t="s">
        <v>1068</v>
      </c>
      <c r="E314" s="16" t="s">
        <v>1130</v>
      </c>
    </row>
    <row r="315" spans="2:5" ht="13.5">
      <c r="B315" s="17" t="s">
        <v>883</v>
      </c>
      <c r="D315" s="15" t="s">
        <v>1124</v>
      </c>
      <c r="E315" s="16" t="s">
        <v>1131</v>
      </c>
    </row>
    <row r="316" spans="2:5" ht="13.5">
      <c r="B316" s="17" t="s">
        <v>879</v>
      </c>
      <c r="D316" s="15" t="s">
        <v>1068</v>
      </c>
      <c r="E316" s="16" t="s">
        <v>1132</v>
      </c>
    </row>
    <row r="317" spans="2:5" ht="13.5">
      <c r="B317" s="17" t="s">
        <v>84</v>
      </c>
      <c r="D317" s="15" t="s">
        <v>1134</v>
      </c>
      <c r="E317" s="16" t="s">
        <v>1108</v>
      </c>
    </row>
    <row r="318" spans="2:5" ht="13.5">
      <c r="B318" s="17" t="s">
        <v>1135</v>
      </c>
      <c r="D318" s="15" t="s">
        <v>1127</v>
      </c>
      <c r="E318" s="16" t="s">
        <v>1136</v>
      </c>
    </row>
    <row r="319" spans="2:5" ht="13.5">
      <c r="B319" s="17" t="s">
        <v>888</v>
      </c>
      <c r="D319" s="15" t="s">
        <v>1121</v>
      </c>
      <c r="E319" s="16" t="s">
        <v>1137</v>
      </c>
    </row>
    <row r="320" spans="2:5" ht="13.5">
      <c r="B320" s="17" t="s">
        <v>1138</v>
      </c>
      <c r="D320" s="15" t="s">
        <v>1101</v>
      </c>
      <c r="E320" s="16" t="s">
        <v>1139</v>
      </c>
    </row>
    <row r="321" spans="2:5" ht="13.5">
      <c r="B321" s="17" t="s">
        <v>406</v>
      </c>
      <c r="D321" s="15" t="s">
        <v>1142</v>
      </c>
      <c r="E321" s="16" t="s">
        <v>1143</v>
      </c>
    </row>
    <row r="322" spans="2:5" ht="13.5">
      <c r="B322" s="17" t="s">
        <v>1144</v>
      </c>
      <c r="D322" s="15" t="s">
        <v>1068</v>
      </c>
      <c r="E322" s="16" t="s">
        <v>1101</v>
      </c>
    </row>
    <row r="323" spans="2:5" ht="13.5">
      <c r="B323" s="17" t="s">
        <v>1145</v>
      </c>
      <c r="D323" s="15" t="s">
        <v>1039</v>
      </c>
      <c r="E323" s="16" t="s">
        <v>1122</v>
      </c>
    </row>
    <row r="324" spans="2:5" ht="13.5">
      <c r="B324" s="17" t="s">
        <v>1080</v>
      </c>
      <c r="D324" s="15" t="s">
        <v>1139</v>
      </c>
      <c r="E324" s="16" t="s">
        <v>1129</v>
      </c>
    </row>
    <row r="325" spans="2:5" ht="13.5">
      <c r="B325" s="17" t="s">
        <v>1166</v>
      </c>
      <c r="D325" s="15" t="s">
        <v>1115</v>
      </c>
      <c r="E325" s="16" t="s">
        <v>1034</v>
      </c>
    </row>
    <row r="326" spans="2:5" ht="13.5">
      <c r="B326" s="17" t="s">
        <v>1112</v>
      </c>
      <c r="D326" s="15" t="s">
        <v>1167</v>
      </c>
      <c r="E326" s="16" t="s">
        <v>1168</v>
      </c>
    </row>
    <row r="327" spans="2:5" ht="13.5">
      <c r="B327" s="17" t="s">
        <v>398</v>
      </c>
      <c r="D327" s="15" t="s">
        <v>1169</v>
      </c>
      <c r="E327" s="16" t="s">
        <v>1034</v>
      </c>
    </row>
    <row r="328" spans="4:5" ht="13.5">
      <c r="D328" s="15" t="s">
        <v>1034</v>
      </c>
      <c r="E328" s="16" t="s">
        <v>1177</v>
      </c>
    </row>
    <row r="329" spans="2:5" ht="13.5">
      <c r="B329" s="17" t="s">
        <v>1174</v>
      </c>
      <c r="D329" s="15" t="s">
        <v>1175</v>
      </c>
      <c r="E329" s="16" t="s">
        <v>1176</v>
      </c>
    </row>
    <row r="330" spans="2:5" ht="13.5">
      <c r="B330" s="17" t="s">
        <v>84</v>
      </c>
      <c r="D330" s="15" t="s">
        <v>1178</v>
      </c>
      <c r="E330" s="16" t="s">
        <v>1130</v>
      </c>
    </row>
    <row r="331" spans="2:5" ht="13.5">
      <c r="B331" s="17" t="s">
        <v>1179</v>
      </c>
      <c r="D331" s="15" t="s">
        <v>1180</v>
      </c>
      <c r="E331" s="16" t="s">
        <v>1181</v>
      </c>
    </row>
    <row r="332" spans="2:5" ht="13.5">
      <c r="B332" s="17" t="s">
        <v>1053</v>
      </c>
      <c r="D332" s="15" t="s">
        <v>1125</v>
      </c>
      <c r="E332" s="16" t="s">
        <v>1182</v>
      </c>
    </row>
    <row r="333" spans="2:5" ht="13.5">
      <c r="B333" s="17" t="s">
        <v>1183</v>
      </c>
      <c r="D333" s="15" t="s">
        <v>1122</v>
      </c>
      <c r="E333" s="16" t="s">
        <v>1184</v>
      </c>
    </row>
    <row r="334" spans="4:5" ht="13.5">
      <c r="D334" s="15" t="s">
        <v>1190</v>
      </c>
      <c r="E334" s="16" t="s">
        <v>1191</v>
      </c>
    </row>
    <row r="335" spans="2:5" ht="13.5">
      <c r="B335" s="17" t="s">
        <v>391</v>
      </c>
      <c r="D335" s="15" t="s">
        <v>1125</v>
      </c>
      <c r="E335" s="16" t="s">
        <v>1186</v>
      </c>
    </row>
    <row r="336" spans="2:5" ht="13.5">
      <c r="B336" s="17" t="s">
        <v>1187</v>
      </c>
      <c r="D336" s="15" t="s">
        <v>1188</v>
      </c>
      <c r="E336" s="16" t="s">
        <v>942</v>
      </c>
    </row>
    <row r="337" ht="13.5"/>
    <row r="338" spans="2:5" ht="13.5">
      <c r="B338" s="17" t="s">
        <v>624</v>
      </c>
      <c r="D338" s="15" t="s">
        <v>1188</v>
      </c>
      <c r="E338" s="16" t="s">
        <v>1189</v>
      </c>
    </row>
    <row r="339" spans="2:5" ht="13.5">
      <c r="B339" s="17" t="s">
        <v>1194</v>
      </c>
      <c r="D339" s="15" t="s">
        <v>942</v>
      </c>
      <c r="E339" s="16" t="s">
        <v>1195</v>
      </c>
    </row>
    <row r="340" spans="2:5" ht="13.5">
      <c r="B340" s="17" t="s">
        <v>1196</v>
      </c>
      <c r="D340" s="15" t="s">
        <v>1189</v>
      </c>
      <c r="E340" s="16" t="s">
        <v>1197</v>
      </c>
    </row>
    <row r="341" spans="2:5" ht="13.5">
      <c r="B341" s="17" t="s">
        <v>1201</v>
      </c>
      <c r="D341" s="15" t="s">
        <v>1188</v>
      </c>
      <c r="E341" s="16" t="s">
        <v>1202</v>
      </c>
    </row>
    <row r="342" ht="13.5"/>
    <row r="343" spans="2:5" ht="13.5">
      <c r="B343" s="17" t="s">
        <v>1224</v>
      </c>
      <c r="D343" s="15" t="s">
        <v>1225</v>
      </c>
      <c r="E343" s="16" t="s">
        <v>1226</v>
      </c>
    </row>
    <row r="344" spans="2:5" ht="13.5">
      <c r="B344" s="17" t="s">
        <v>707</v>
      </c>
      <c r="D344" s="15" t="s">
        <v>1228</v>
      </c>
      <c r="E344" s="16" t="s">
        <v>1229</v>
      </c>
    </row>
    <row r="345" spans="2:5" ht="13.5">
      <c r="B345" s="17" t="s">
        <v>1231</v>
      </c>
      <c r="D345" s="15" t="s">
        <v>1232</v>
      </c>
      <c r="E345" s="16" t="s">
        <v>1233</v>
      </c>
    </row>
    <row r="346" spans="2:5" ht="13.5">
      <c r="B346" s="17" t="s">
        <v>994</v>
      </c>
      <c r="D346" s="15" t="s">
        <v>1197</v>
      </c>
      <c r="E346" s="16" t="s">
        <v>1234</v>
      </c>
    </row>
    <row r="347" spans="2:5" ht="13.5">
      <c r="B347" s="17" t="s">
        <v>1235</v>
      </c>
      <c r="C347" s="4" t="s">
        <v>313</v>
      </c>
      <c r="D347" s="15" t="s">
        <v>1191</v>
      </c>
      <c r="E347" s="16" t="s">
        <v>1236</v>
      </c>
    </row>
    <row r="348" spans="2:5" ht="13.5">
      <c r="B348" s="17" t="s">
        <v>912</v>
      </c>
      <c r="D348" s="15" t="s">
        <v>1237</v>
      </c>
      <c r="E348" s="16" t="s">
        <v>1238</v>
      </c>
    </row>
    <row r="349" spans="2:5" ht="13.5">
      <c r="B349" s="17" t="s">
        <v>1239</v>
      </c>
      <c r="D349" s="15" t="s">
        <v>967</v>
      </c>
      <c r="E349" s="16" t="s">
        <v>1240</v>
      </c>
    </row>
    <row r="350" spans="2:5" ht="13.5">
      <c r="B350" s="17" t="s">
        <v>469</v>
      </c>
      <c r="D350" s="15" t="s">
        <v>1246</v>
      </c>
      <c r="E350" s="16" t="s">
        <v>1247</v>
      </c>
    </row>
    <row r="351" spans="2:5" ht="13.5">
      <c r="B351" s="17" t="s">
        <v>1250</v>
      </c>
      <c r="D351" s="15" t="s">
        <v>1248</v>
      </c>
      <c r="E351" s="16" t="s">
        <v>1249</v>
      </c>
    </row>
    <row r="352" spans="2:5" ht="13.5">
      <c r="B352" s="17" t="s">
        <v>1022</v>
      </c>
      <c r="D352" s="15" t="s">
        <v>1237</v>
      </c>
      <c r="E352" s="16" t="s">
        <v>1251</v>
      </c>
    </row>
    <row r="353" spans="2:5" ht="13.5">
      <c r="B353" s="17" t="s">
        <v>823</v>
      </c>
      <c r="D353" s="15" t="s">
        <v>967</v>
      </c>
      <c r="E353" s="16" t="s">
        <v>1252</v>
      </c>
    </row>
    <row r="354" spans="2:5" ht="13.5">
      <c r="B354" s="17" t="s">
        <v>1253</v>
      </c>
      <c r="D354" s="15" t="s">
        <v>1237</v>
      </c>
      <c r="E354" s="16" t="s">
        <v>1247</v>
      </c>
    </row>
    <row r="355" ht="13.5"/>
    <row r="356" spans="2:5" ht="13.5">
      <c r="B356" s="17" t="s">
        <v>490</v>
      </c>
      <c r="D356" s="15" t="s">
        <v>1177</v>
      </c>
      <c r="E356" s="16" t="s">
        <v>1257</v>
      </c>
    </row>
    <row r="357" spans="4:5" ht="13.5">
      <c r="D357" s="15" t="s">
        <v>1256</v>
      </c>
      <c r="E357" s="16" t="s">
        <v>1255</v>
      </c>
    </row>
    <row r="358" ht="13.5"/>
    <row r="359" spans="2:5" ht="13.5">
      <c r="B359" s="17" t="s">
        <v>1258</v>
      </c>
      <c r="D359" s="15" t="s">
        <v>1238</v>
      </c>
      <c r="E359" s="16" t="s">
        <v>1252</v>
      </c>
    </row>
    <row r="360" spans="2:5" ht="13.5">
      <c r="B360" s="17" t="s">
        <v>1000</v>
      </c>
      <c r="D360" s="15" t="s">
        <v>1226</v>
      </c>
      <c r="E360" s="16" t="s">
        <v>1137</v>
      </c>
    </row>
    <row r="361" spans="2:5" ht="13.5">
      <c r="B361" s="17" t="s">
        <v>1285</v>
      </c>
      <c r="D361" s="15" t="s">
        <v>1226</v>
      </c>
      <c r="E361" s="16" t="s">
        <v>1286</v>
      </c>
    </row>
    <row r="362" spans="4:5" ht="13.5">
      <c r="D362" s="15" t="s">
        <v>1314</v>
      </c>
      <c r="E362" s="16" t="s">
        <v>1294</v>
      </c>
    </row>
    <row r="363" spans="2:5" ht="13.5">
      <c r="B363" s="17" t="s">
        <v>1297</v>
      </c>
      <c r="D363" s="15" t="s">
        <v>1255</v>
      </c>
      <c r="E363" s="16" t="s">
        <v>1289</v>
      </c>
    </row>
    <row r="364" spans="2:5" ht="13.5">
      <c r="B364" s="17" t="s">
        <v>1290</v>
      </c>
      <c r="D364" s="15" t="s">
        <v>1291</v>
      </c>
      <c r="E364" s="16" t="s">
        <v>1292</v>
      </c>
    </row>
    <row r="365" spans="2:5" ht="13.5">
      <c r="B365" s="17" t="s">
        <v>978</v>
      </c>
      <c r="D365" s="15" t="s">
        <v>1293</v>
      </c>
      <c r="E365" s="16" t="s">
        <v>1294</v>
      </c>
    </row>
    <row r="366" spans="2:5" ht="13.5">
      <c r="B366" s="17" t="s">
        <v>756</v>
      </c>
      <c r="D366" s="15" t="s">
        <v>1295</v>
      </c>
      <c r="E366" s="16" t="s">
        <v>1296</v>
      </c>
    </row>
    <row r="367" spans="2:5" ht="13.5">
      <c r="B367" s="17" t="s">
        <v>825</v>
      </c>
      <c r="D367" s="15" t="s">
        <v>1298</v>
      </c>
      <c r="E367" s="16" t="s">
        <v>1295</v>
      </c>
    </row>
    <row r="368" spans="2:5" ht="13.5">
      <c r="B368" s="17" t="s">
        <v>414</v>
      </c>
      <c r="D368" s="15" t="s">
        <v>1299</v>
      </c>
      <c r="E368" s="16" t="s">
        <v>1300</v>
      </c>
    </row>
    <row r="369" spans="2:5" ht="13.5">
      <c r="B369" s="17" t="s">
        <v>1311</v>
      </c>
      <c r="D369" s="15" t="s">
        <v>1002</v>
      </c>
      <c r="E369" s="16" t="s">
        <v>1312</v>
      </c>
    </row>
    <row r="370" spans="2:5" ht="13.5">
      <c r="B370" s="17" t="s">
        <v>1313</v>
      </c>
      <c r="D370" s="15" t="s">
        <v>1299</v>
      </c>
      <c r="E370" s="16" t="s">
        <v>1294</v>
      </c>
    </row>
    <row r="371" spans="2:5" ht="13.5">
      <c r="B371" s="17" t="s">
        <v>1318</v>
      </c>
      <c r="D371" s="15" t="s">
        <v>1319</v>
      </c>
      <c r="E371" s="16" t="s">
        <v>1320</v>
      </c>
    </row>
    <row r="372" spans="2:5" ht="13.5">
      <c r="B372" s="17" t="s">
        <v>1321</v>
      </c>
      <c r="D372" s="15" t="s">
        <v>1322</v>
      </c>
      <c r="E372" s="16" t="s">
        <v>1323</v>
      </c>
    </row>
    <row r="373" spans="2:5" ht="13.5">
      <c r="B373" s="17" t="s">
        <v>84</v>
      </c>
      <c r="D373" s="15" t="s">
        <v>1319</v>
      </c>
      <c r="E373" s="16" t="s">
        <v>1324</v>
      </c>
    </row>
    <row r="374" spans="2:5" ht="13.5">
      <c r="B374" s="17" t="s">
        <v>1325</v>
      </c>
      <c r="D374" s="15" t="s">
        <v>1314</v>
      </c>
      <c r="E374" s="16" t="s">
        <v>1322</v>
      </c>
    </row>
    <row r="376" spans="2:5" ht="13.5">
      <c r="B376" s="17" t="s">
        <v>1365</v>
      </c>
      <c r="D376" s="15" t="s">
        <v>1366</v>
      </c>
      <c r="E376" s="16" t="s">
        <v>1367</v>
      </c>
    </row>
    <row r="377" spans="2:5" ht="13.5">
      <c r="B377" s="17" t="s">
        <v>1395</v>
      </c>
      <c r="D377" s="15" t="s">
        <v>1368</v>
      </c>
      <c r="E377" s="16" t="s">
        <v>1369</v>
      </c>
    </row>
    <row r="378" spans="2:5" ht="13.5">
      <c r="B378" s="17" t="s">
        <v>1370</v>
      </c>
      <c r="D378" s="15" t="s">
        <v>1296</v>
      </c>
      <c r="E378" s="16" t="s">
        <v>1371</v>
      </c>
    </row>
    <row r="379" spans="2:5" ht="13.5">
      <c r="B379" s="17" t="s">
        <v>719</v>
      </c>
      <c r="D379" s="15" t="s">
        <v>1372</v>
      </c>
      <c r="E379" s="16" t="s">
        <v>1373</v>
      </c>
    </row>
    <row r="380" spans="2:5" ht="13.5">
      <c r="B380" s="17" t="s">
        <v>1166</v>
      </c>
      <c r="D380" s="15" t="s">
        <v>1376</v>
      </c>
      <c r="E380" s="16" t="s">
        <v>1320</v>
      </c>
    </row>
    <row r="381" spans="2:5" ht="13.5">
      <c r="B381" s="17" t="s">
        <v>680</v>
      </c>
      <c r="D381" s="15" t="s">
        <v>1368</v>
      </c>
      <c r="E381" s="16" t="s">
        <v>1377</v>
      </c>
    </row>
    <row r="382" spans="2:5" ht="13.5">
      <c r="B382" s="17" t="s">
        <v>1378</v>
      </c>
      <c r="D382" s="15" t="s">
        <v>1368</v>
      </c>
      <c r="E382" s="16" t="s">
        <v>1379</v>
      </c>
    </row>
    <row r="383" spans="2:5" ht="13.5">
      <c r="B383" s="17" t="s">
        <v>1396</v>
      </c>
      <c r="D383" s="15" t="s">
        <v>1322</v>
      </c>
      <c r="E383" s="16" t="s">
        <v>1324</v>
      </c>
    </row>
    <row r="384" spans="2:5" ht="13.5">
      <c r="B384" s="17" t="s">
        <v>1397</v>
      </c>
      <c r="D384" s="15" t="s">
        <v>1398</v>
      </c>
      <c r="E384" s="16" t="s">
        <v>1399</v>
      </c>
    </row>
    <row r="385" spans="2:5" ht="13.5">
      <c r="B385" s="17" t="s">
        <v>1325</v>
      </c>
      <c r="D385" s="15" t="s">
        <v>1371</v>
      </c>
      <c r="E385" s="16" t="s">
        <v>1399</v>
      </c>
    </row>
    <row r="386" spans="2:5" ht="13.5">
      <c r="B386" s="17" t="s">
        <v>756</v>
      </c>
      <c r="D386" s="15" t="s">
        <v>1368</v>
      </c>
      <c r="E386" s="16" t="s">
        <v>1367</v>
      </c>
    </row>
    <row r="388" spans="2:5" ht="13.5">
      <c r="B388" s="17" t="s">
        <v>1404</v>
      </c>
      <c r="D388" s="15" t="s">
        <v>1405</v>
      </c>
      <c r="E388" s="16" t="s">
        <v>1406</v>
      </c>
    </row>
    <row r="389" spans="2:5" ht="13.5">
      <c r="B389" s="17" t="s">
        <v>1407</v>
      </c>
      <c r="D389" s="15" t="s">
        <v>1408</v>
      </c>
      <c r="E389" s="16" t="s">
        <v>1409</v>
      </c>
    </row>
    <row r="390" spans="2:5" ht="13.5">
      <c r="B390" s="17" t="s">
        <v>1410</v>
      </c>
      <c r="D390" s="15" t="s">
        <v>1377</v>
      </c>
      <c r="E390" s="16" t="s">
        <v>1411</v>
      </c>
    </row>
    <row r="392" spans="2:5" ht="13.5">
      <c r="B392" s="17" t="s">
        <v>1415</v>
      </c>
      <c r="D392" s="15" t="s">
        <v>1416</v>
      </c>
      <c r="E392" s="16" t="s">
        <v>1379</v>
      </c>
    </row>
    <row r="393" spans="2:5" ht="13.5">
      <c r="B393" s="17" t="s">
        <v>1476</v>
      </c>
      <c r="D393" s="15" t="s">
        <v>1369</v>
      </c>
      <c r="E393" s="16" t="s">
        <v>1477</v>
      </c>
    </row>
    <row r="394" spans="2:5" ht="13.5">
      <c r="B394" s="17" t="s">
        <v>1478</v>
      </c>
      <c r="D394" s="15" t="s">
        <v>1479</v>
      </c>
      <c r="E394" s="16" t="s">
        <v>1300</v>
      </c>
    </row>
    <row r="395" spans="2:5" ht="13.5">
      <c r="B395" s="17" t="s">
        <v>731</v>
      </c>
      <c r="D395" s="15" t="s">
        <v>1480</v>
      </c>
      <c r="E395" s="16" t="s">
        <v>1481</v>
      </c>
    </row>
    <row r="396" spans="2:5" ht="13.5">
      <c r="B396" s="17" t="s">
        <v>1484</v>
      </c>
      <c r="D396" s="15" t="s">
        <v>1485</v>
      </c>
      <c r="E396" s="16" t="s">
        <v>1486</v>
      </c>
    </row>
    <row r="397" spans="2:5" ht="13.5">
      <c r="B397" s="17" t="s">
        <v>1313</v>
      </c>
      <c r="D397" s="15" t="s">
        <v>1366</v>
      </c>
      <c r="E397" s="16" t="s">
        <v>1487</v>
      </c>
    </row>
    <row r="398" spans="2:5" ht="13.5">
      <c r="B398" s="17" t="s">
        <v>1490</v>
      </c>
      <c r="C398" s="4" t="s">
        <v>313</v>
      </c>
      <c r="D398" s="15" t="s">
        <v>1481</v>
      </c>
      <c r="E398" s="16" t="s">
        <v>1491</v>
      </c>
    </row>
    <row r="399" spans="2:5" ht="13.5">
      <c r="B399" s="17" t="s">
        <v>1499</v>
      </c>
      <c r="D399" s="15" t="s">
        <v>1500</v>
      </c>
      <c r="E399" s="16" t="s">
        <v>1501</v>
      </c>
    </row>
    <row r="400" spans="2:5" ht="13.5">
      <c r="B400" s="17" t="s">
        <v>1502</v>
      </c>
      <c r="D400" s="15" t="s">
        <v>1503</v>
      </c>
      <c r="E400" s="16" t="s">
        <v>1369</v>
      </c>
    </row>
    <row r="401" spans="2:5" ht="13.5">
      <c r="B401" s="17" t="s">
        <v>1504</v>
      </c>
      <c r="D401" s="15" t="s">
        <v>1505</v>
      </c>
      <c r="E401" s="16" t="s">
        <v>1506</v>
      </c>
    </row>
    <row r="402" spans="2:5" ht="13.5">
      <c r="B402" s="17" t="s">
        <v>84</v>
      </c>
      <c r="D402" s="15" t="s">
        <v>1507</v>
      </c>
      <c r="E402" s="16" t="s">
        <v>1508</v>
      </c>
    </row>
    <row r="403" spans="2:5" ht="13.5">
      <c r="B403" s="17" t="s">
        <v>1509</v>
      </c>
      <c r="D403" s="15" t="s">
        <v>1510</v>
      </c>
      <c r="E403" s="16" t="s">
        <v>1511</v>
      </c>
    </row>
    <row r="404" spans="2:5" ht="13.5">
      <c r="B404" s="17" t="s">
        <v>1512</v>
      </c>
      <c r="D404" s="15" t="s">
        <v>1293</v>
      </c>
      <c r="E404" s="16" t="s">
        <v>1513</v>
      </c>
    </row>
    <row r="405" spans="2:5" ht="13.5">
      <c r="B405" s="17" t="s">
        <v>680</v>
      </c>
      <c r="D405" s="15" t="s">
        <v>1477</v>
      </c>
      <c r="E405" s="16" t="s">
        <v>1514</v>
      </c>
    </row>
    <row r="406" spans="2:5" ht="13.5">
      <c r="B406" s="17" t="s">
        <v>1518</v>
      </c>
      <c r="D406" s="15" t="s">
        <v>1256</v>
      </c>
      <c r="E406" s="16" t="s">
        <v>1233</v>
      </c>
    </row>
    <row r="407" spans="4:5" ht="13.5">
      <c r="D407" s="15" t="s">
        <v>1240</v>
      </c>
      <c r="E407" s="16" t="s">
        <v>1519</v>
      </c>
    </row>
    <row r="408" spans="4:5" ht="13.5">
      <c r="D408" s="15" t="s">
        <v>1520</v>
      </c>
      <c r="E408" s="16" t="s">
        <v>1521</v>
      </c>
    </row>
    <row r="409" spans="2:5" ht="13.5">
      <c r="B409" s="17" t="s">
        <v>1522</v>
      </c>
      <c r="D409" s="15" t="s">
        <v>1523</v>
      </c>
      <c r="E409" s="16" t="s">
        <v>1379</v>
      </c>
    </row>
    <row r="410" spans="2:5" ht="13.5">
      <c r="B410" s="17" t="s">
        <v>1524</v>
      </c>
      <c r="D410" s="15" t="s">
        <v>1525</v>
      </c>
      <c r="E410" s="16" t="s">
        <v>1379</v>
      </c>
    </row>
    <row r="411" spans="2:4" ht="13.5">
      <c r="B411" s="17" t="s">
        <v>490</v>
      </c>
      <c r="D411" s="15" t="s">
        <v>1526</v>
      </c>
    </row>
    <row r="412" spans="2:4" ht="13.5">
      <c r="B412" s="17" t="s">
        <v>1120</v>
      </c>
      <c r="D412" s="15" t="s">
        <v>1411</v>
      </c>
    </row>
    <row r="413" ht="13.5">
      <c r="D413" s="15" t="s">
        <v>1526</v>
      </c>
    </row>
    <row r="414" spans="2:5" ht="13.5">
      <c r="B414" s="17" t="s">
        <v>1527</v>
      </c>
      <c r="D414" s="15" t="s">
        <v>1526</v>
      </c>
      <c r="E414" s="16" t="s">
        <v>1523</v>
      </c>
    </row>
    <row r="415" spans="2:5" ht="13.5">
      <c r="B415" s="17" t="s">
        <v>1528</v>
      </c>
      <c r="D415" s="15" t="s">
        <v>1529</v>
      </c>
      <c r="E415" s="16" t="s">
        <v>1530</v>
      </c>
    </row>
    <row r="416" spans="2:5" ht="13.5">
      <c r="B416" s="17" t="s">
        <v>1531</v>
      </c>
      <c r="D416" s="15" t="s">
        <v>1532</v>
      </c>
      <c r="E416" s="16" t="s">
        <v>1514</v>
      </c>
    </row>
    <row r="417" spans="2:5" ht="13.5">
      <c r="B417" s="17" t="s">
        <v>1533</v>
      </c>
      <c r="D417" s="15" t="s">
        <v>1525</v>
      </c>
      <c r="E417" s="16" t="s">
        <v>1379</v>
      </c>
    </row>
    <row r="418" spans="2:5" ht="13.5">
      <c r="B418" s="17" t="s">
        <v>1534</v>
      </c>
      <c r="D418" s="15" t="s">
        <v>1525</v>
      </c>
      <c r="E418" s="16" t="s">
        <v>1535</v>
      </c>
    </row>
    <row r="419" spans="2:5" ht="13.5">
      <c r="B419" s="17" t="s">
        <v>1536</v>
      </c>
      <c r="D419" s="15" t="s">
        <v>1501</v>
      </c>
      <c r="E419" s="16" t="s">
        <v>1530</v>
      </c>
    </row>
    <row r="420" spans="2:5" ht="13.5">
      <c r="B420" s="17" t="s">
        <v>1537</v>
      </c>
      <c r="D420" s="15" t="s">
        <v>1538</v>
      </c>
      <c r="E420" s="16" t="s">
        <v>1379</v>
      </c>
    </row>
    <row r="422" spans="2:5" ht="13.5">
      <c r="B422" s="17" t="s">
        <v>1604</v>
      </c>
      <c r="D422" s="15" t="s">
        <v>1514</v>
      </c>
      <c r="E422" s="16" t="s">
        <v>1523</v>
      </c>
    </row>
    <row r="423" spans="2:5" ht="13.5">
      <c r="B423" s="17" t="s">
        <v>1605</v>
      </c>
      <c r="D423" s="15" t="s">
        <v>1368</v>
      </c>
      <c r="E423" s="16" t="s">
        <v>1379</v>
      </c>
    </row>
  </sheetData>
  <sheetProtection/>
  <mergeCells count="4">
    <mergeCell ref="F112:F113"/>
    <mergeCell ref="G112:G113"/>
    <mergeCell ref="B104:G104"/>
    <mergeCell ref="G154:G15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Kumar</dc:creator>
  <cp:keywords/>
  <dc:description/>
  <cp:lastModifiedBy>Giah</cp:lastModifiedBy>
  <cp:lastPrinted>2016-01-02T05:01:56Z</cp:lastPrinted>
  <dcterms:created xsi:type="dcterms:W3CDTF">2011-04-26T06:13:48Z</dcterms:created>
  <dcterms:modified xsi:type="dcterms:W3CDTF">2016-02-10T08:43:21Z</dcterms:modified>
  <cp:category/>
  <cp:version/>
  <cp:contentType/>
  <cp:contentStatus/>
</cp:coreProperties>
</file>